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ÇAMENTO" sheetId="1" r:id="rId1"/>
    <sheet name="CRONOGRAMA " sheetId="2" r:id="rId2"/>
    <sheet name="COMPOSIÇÕES" sheetId="3" r:id="rId3"/>
    <sheet name="Memoria calculo" sheetId="4" r:id="rId4"/>
  </sheets>
  <externalReferences>
    <externalReference r:id="rId7"/>
  </externalReferences>
  <definedNames>
    <definedName name="_xlnm.Print_Area" localSheetId="1">'CRONOGRAMA '!$A$1:$V$26</definedName>
    <definedName name="_xlnm.Print_Area" localSheetId="0">'ORÇAMENTO'!$A$1:$N$99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<sst xmlns="http://schemas.openxmlformats.org/spreadsheetml/2006/main" count="465" uniqueCount="327">
  <si>
    <t xml:space="preserve"> UNIDADE DE GERENCIAMENTO DE PROJETOS - UGP</t>
  </si>
  <si>
    <t>PLANILHA ORÇAMENTÁRIA</t>
  </si>
  <si>
    <t>Revisor: Arq. Kaiser Garcia Fontoura</t>
  </si>
  <si>
    <t>PESQUISA</t>
  </si>
  <si>
    <t>BDI:</t>
  </si>
  <si>
    <t>CODIGO</t>
  </si>
  <si>
    <t>ITEM</t>
  </si>
  <si>
    <t>DESCRIÇÃO DO SERVIÇO</t>
  </si>
  <si>
    <t>UNID.</t>
  </si>
  <si>
    <t>QUANT.</t>
  </si>
  <si>
    <t>CUSTO</t>
  </si>
  <si>
    <t>PREÇO C/ BDI</t>
  </si>
  <si>
    <t>TOTAL</t>
  </si>
  <si>
    <t>%</t>
  </si>
  <si>
    <t>M.O.</t>
  </si>
  <si>
    <t>MAT</t>
  </si>
  <si>
    <t>UNIT</t>
  </si>
  <si>
    <t>SERVIÇOS INICIAIS</t>
  </si>
  <si>
    <t>74209/001</t>
  </si>
  <si>
    <t>1.1</t>
  </si>
  <si>
    <t>M2</t>
  </si>
  <si>
    <t>1.2</t>
  </si>
  <si>
    <t>INSTALAÇÕES PROVISÓRIAS</t>
  </si>
  <si>
    <t>73847/001</t>
  </si>
  <si>
    <t>1.2.1</t>
  </si>
  <si>
    <t>ALUGUEL CONTAINER/ESCRIT INCL INST ELET LARG=2,20 COMP=6,20M ALTURA 2,50M</t>
  </si>
  <si>
    <t>MÊS</t>
  </si>
  <si>
    <t>73847/002</t>
  </si>
  <si>
    <t>1.2.2</t>
  </si>
  <si>
    <t>ALUGUEL CONTAINER/ESCRT./WC COM 1 VASO SAN./1 LA./1 MIC./4 CHUV.</t>
  </si>
  <si>
    <t>1.3</t>
  </si>
  <si>
    <t>SERVICOS TOPOGRAFICOS PARA PAVIMENTACAO, INCLUSIVE NOTA DE SERVICOS,</t>
  </si>
  <si>
    <t>M²</t>
  </si>
  <si>
    <t>1.4</t>
  </si>
  <si>
    <t>1.4.1</t>
  </si>
  <si>
    <t>PLACAS</t>
  </si>
  <si>
    <t>4 S 06 202 01</t>
  </si>
  <si>
    <t>1.4.1.1</t>
  </si>
  <si>
    <t>PLACA INDICATIVA 2,00M X 1,00M</t>
  </si>
  <si>
    <t>1.4.1.2</t>
  </si>
  <si>
    <t>PLACA 0,60 M X 1,00 M - INDICAÇÃO</t>
  </si>
  <si>
    <t>1.4.1.3</t>
  </si>
  <si>
    <t>PLACA 0,50 M X 0,85 - INDICAÇÃO</t>
  </si>
  <si>
    <t>74220/001+74221/001</t>
  </si>
  <si>
    <t>BARREIRA MÓVEL C/ PISCANTE (TAPUME E PISCANTE)</t>
  </si>
  <si>
    <t>4 S 06 230 03</t>
  </si>
  <si>
    <t>SUPORTES MÓVEIS PARA TODAS AS PLACAS DE OBRA</t>
  </si>
  <si>
    <t>TOTAL DO ITEM</t>
  </si>
  <si>
    <t>PAVIMENTAÇÃO</t>
  </si>
  <si>
    <t>74205/001</t>
  </si>
  <si>
    <t>2.1</t>
  </si>
  <si>
    <t>ESCAVACAO MECANICA DE MATERIAL 1A. CATEGORIA, PROVENIENTE DE CORTE DE SUBLEITO</t>
  </si>
  <si>
    <t>M3</t>
  </si>
  <si>
    <t>2.1.1</t>
  </si>
  <si>
    <t>TRANSPORTE BOTA-FORA</t>
  </si>
  <si>
    <t>2.1.1.1</t>
  </si>
  <si>
    <t>M3 x KM</t>
  </si>
  <si>
    <t>2.2</t>
  </si>
  <si>
    <t>LASTRO DE AREIA GROSSA</t>
  </si>
  <si>
    <t>2.2.1</t>
  </si>
  <si>
    <t>2.2.2</t>
  </si>
  <si>
    <t>2.3</t>
  </si>
  <si>
    <t>2.4</t>
  </si>
  <si>
    <t>BASE E SUB-BASE DE BRITA GRADUADA</t>
  </si>
  <si>
    <t>2.4.1</t>
  </si>
  <si>
    <t>2.4.2</t>
  </si>
  <si>
    <t>2.5</t>
  </si>
  <si>
    <t>M</t>
  </si>
  <si>
    <t>2.6</t>
  </si>
  <si>
    <t>IMPRIMAÇÃO DE BASE DE PAVIMENTAÇÃO COM EMULSÃO CM=30</t>
  </si>
  <si>
    <t>2.7</t>
  </si>
  <si>
    <t>PINTURA DE LIGAÇÃO COM EMULSÃO RR-2C</t>
  </si>
  <si>
    <t>2.8</t>
  </si>
  <si>
    <t>FABRICAÇÃO E APLICAÇÃO DE CBUQ (e=5 CM)</t>
  </si>
  <si>
    <t>TON</t>
  </si>
  <si>
    <t>2.9</t>
  </si>
  <si>
    <t>M3 X KM</t>
  </si>
  <si>
    <t>DRENAGEM</t>
  </si>
  <si>
    <t>3.1</t>
  </si>
  <si>
    <t>LOCAÇÃO DA REDE COM NIVELAMENTO</t>
  </si>
  <si>
    <t>3.2</t>
  </si>
  <si>
    <t>ESCAVAÇÃO DE VALAS NÃO ESCORADA</t>
  </si>
  <si>
    <t>3.3</t>
  </si>
  <si>
    <t>ENVELOPAMENTO DA TUBULAÇÃO</t>
  </si>
  <si>
    <t>LEITO DE BRITA 1 e 2 (10 cm)</t>
  </si>
  <si>
    <t>73972/002+74157/004</t>
  </si>
  <si>
    <t>RADIER EM CONCRETO SIMPLES (10 cm)</t>
  </si>
  <si>
    <t>ENVELOPE DE CONCRETO SIMPLES 20 Mpa</t>
  </si>
  <si>
    <t>3.4</t>
  </si>
  <si>
    <t>CAIXAS DE INSPEÇÃO PLUVIAL</t>
  </si>
  <si>
    <t>ALVENARIA TIJOLOS.MACIÇOS DE 20cm,C/ARG.DE CIM.E AREIA 1:2:8</t>
  </si>
  <si>
    <t>REVESTIMENTO INTERNO EM ARGAMASSA 1:4 (CI-AR)</t>
  </si>
  <si>
    <t>ESPELHO CONCRETO ARMADO LARG = 1,40 m</t>
  </si>
  <si>
    <t>74138/001</t>
  </si>
  <si>
    <t>74254/002</t>
  </si>
  <si>
    <t>FERRAGEM TAMPA CA50 - Ø 6.3 mm</t>
  </si>
  <si>
    <t>KG</t>
  </si>
  <si>
    <t>H</t>
  </si>
  <si>
    <t>5.1</t>
  </si>
  <si>
    <t>BASE DE BRITA GRADUADA - e=5CM, INCLUSO COMPACTAÇÃO</t>
  </si>
  <si>
    <t>5.1.1</t>
  </si>
  <si>
    <t>M³ X KM</t>
  </si>
  <si>
    <t>5.2</t>
  </si>
  <si>
    <t>PISO EM CONCRETO 20 MPA PREPARO MECANICO, ESPESSURA 7CM, INCLUSO JUNTA DE DILATAÇÃO EM POLIURETANO</t>
  </si>
  <si>
    <t>PISO EM CONCRETO 20MPA PREPARO MECANICO, ESPESSURA 7 CM, COM ARMAÇÃO EM TELA SOLDADA</t>
  </si>
  <si>
    <t>COMP. 002</t>
  </si>
  <si>
    <t>SINALIZAÇÃO VIÁRIA</t>
  </si>
  <si>
    <t>6.1</t>
  </si>
  <si>
    <t>SINALIZAÇÃO HORIZONTAL</t>
  </si>
  <si>
    <t>4 S 06 100 31</t>
  </si>
  <si>
    <t>6.1.1</t>
  </si>
  <si>
    <t>6.1.2</t>
  </si>
  <si>
    <t>6.1.3</t>
  </si>
  <si>
    <t>SINALIZAÇÃO HORIZONTAL C/ TINTA BASE ACRÍLICA BRANCA DURABIL. 24 MESES (FAIXA CONTÍNUA ANTES DA FAIXA DE PEDESTRE)</t>
  </si>
  <si>
    <t>4 S 06 110 02</t>
  </si>
  <si>
    <t>4 S 06 120 01</t>
  </si>
  <si>
    <t>TACHA REFLEXIVA MONODIRECIONAL - FORNECIMENTO E INSTALAÇÃO (LINHA DE DIVISÃO DE FLUXO)</t>
  </si>
  <si>
    <t>6.2</t>
  </si>
  <si>
    <t>SINALIZAÇÃO VERTICAL</t>
  </si>
  <si>
    <t xml:space="preserve">4 S 06 200 01 </t>
  </si>
  <si>
    <t>6.2.1</t>
  </si>
  <si>
    <t>PLACAS DE PARE LADO=0,25M - INCLUSO SUPORTE TIPO S1</t>
  </si>
  <si>
    <t>PLACA LOSANGULO LADO=0,75M - INCLUSO SUPORTE TIPO S1</t>
  </si>
  <si>
    <t>7.1</t>
  </si>
  <si>
    <t>ENSAIOS TECNOLÓGICOS</t>
  </si>
  <si>
    <t>SUBLEITO</t>
  </si>
  <si>
    <t>74022/013</t>
  </si>
  <si>
    <t xml:space="preserve">ENSAIO DE COMPACTACAO - AMOSTRAS TRABALHADAS </t>
  </si>
  <si>
    <t>74022/019</t>
  </si>
  <si>
    <t>ENSAIO DE INDICE DE SUPORTE CALIFORNIA - AMOSTRAS NAO TRABALHADAS - ENERGIA NORMAL</t>
  </si>
  <si>
    <t>74022/038</t>
  </si>
  <si>
    <t xml:space="preserve">ENSAIO DE EXPANSIBILIDADE - SOLOS  </t>
  </si>
  <si>
    <t>SUB-BASE</t>
  </si>
  <si>
    <t>74022/011</t>
  </si>
  <si>
    <t>ENSAIO DE COMPACTACAO - AMOSTRAS NAO TRABALHADAS - ENERGIA INTERMEDIARIA</t>
  </si>
  <si>
    <t>BASE</t>
  </si>
  <si>
    <t>REVETIMENTO EM CBUQ</t>
  </si>
  <si>
    <t>73900/001</t>
  </si>
  <si>
    <t>ENSAIOS DE IMPRIMACAO - ASFALTO DILUIDO</t>
  </si>
  <si>
    <t>ENSAIOS DE PINTURA DE LIGACAO</t>
  </si>
  <si>
    <t>73900/012</t>
  </si>
  <si>
    <t>ENSAIOS DE CONCRETO ASFALTICO</t>
  </si>
  <si>
    <t>SERVIÇOS FINAIS</t>
  </si>
  <si>
    <t>LIMPEZA FINAL DE OBRA</t>
  </si>
  <si>
    <t>TOTAL GERAL</t>
  </si>
  <si>
    <t>DESCRIÇÃO</t>
  </si>
  <si>
    <t>PESO</t>
  </si>
  <si>
    <t>VALOR DO ITEM</t>
  </si>
  <si>
    <t>PARCELA 01</t>
  </si>
  <si>
    <t>ACUMULADO</t>
  </si>
  <si>
    <t>TOTAL PARCELA</t>
  </si>
  <si>
    <t>OBRA :</t>
  </si>
  <si>
    <t>COMPOSIÇÕES</t>
  </si>
  <si>
    <t>LOCAL :</t>
  </si>
  <si>
    <t>CÓDIGO</t>
  </si>
  <si>
    <t>CLASS</t>
  </si>
  <si>
    <t>UNIDADE</t>
  </si>
  <si>
    <t>QUANTIDADE</t>
  </si>
  <si>
    <t>PREÇO(R$)</t>
  </si>
  <si>
    <t>PREÇO TOTAL (R$)/BDI EXCLUSO</t>
  </si>
  <si>
    <t xml:space="preserve">LADRILHO HIDRÁULICO TÁTIL  </t>
  </si>
  <si>
    <t>COMP. 001</t>
  </si>
  <si>
    <t>LADRILHO HIDRÁULICO TÁTIL - VERMELHO 20X20, ASSENTADO C/ ARGAMASA COLANTE</t>
  </si>
  <si>
    <t xml:space="preserve">SER.CG </t>
  </si>
  <si>
    <t xml:space="preserve">M² </t>
  </si>
  <si>
    <t>1379</t>
  </si>
  <si>
    <t>CIMENTO PORTLAND - CP II</t>
  </si>
  <si>
    <t>1381</t>
  </si>
  <si>
    <t>ARGAMASSA</t>
  </si>
  <si>
    <t>3731</t>
  </si>
  <si>
    <t>LADRILHO 20X20CM, E=2CM</t>
  </si>
  <si>
    <t>4750</t>
  </si>
  <si>
    <t>PEDREIRO</t>
  </si>
  <si>
    <t>6111</t>
  </si>
  <si>
    <t>SERVENTE</t>
  </si>
  <si>
    <t>LADRILHO HIDRÁULICO TÁTIL - AMARELO 20X20, ASSENTADO C/ ARGAMASA COLANTE</t>
  </si>
  <si>
    <t>LATRO DE AREIA GROSSA</t>
  </si>
  <si>
    <t>COMP. 003</t>
  </si>
  <si>
    <t>LASTRO DE AREIA GROSSA (SEM FRETE)</t>
  </si>
  <si>
    <t>M²³</t>
  </si>
  <si>
    <t>367</t>
  </si>
  <si>
    <t>AREIA GROSSA - POSTO JAZIDA/FORNECEDOR (SEM FRETE)</t>
  </si>
  <si>
    <t>M³</t>
  </si>
  <si>
    <t>88316</t>
  </si>
  <si>
    <t>SERVENTE COM ENCARGOS SOCIAIS</t>
  </si>
  <si>
    <t>Endereço: AV SÃO JORGE (ENTRE Rua Sta. Maria e Rua Francisco F. Veloso)</t>
  </si>
  <si>
    <t>Data de elaboração: FEVEREIRO/2015</t>
  </si>
  <si>
    <t>Autor: Eng. Civil Karen B. Almeida Esperança</t>
  </si>
  <si>
    <t xml:space="preserve">DAER </t>
  </si>
  <si>
    <t>SINAP NOV/14 C/DESON.</t>
  </si>
  <si>
    <t>Tipo de intervenção:  DRENAGEM, PAVIMENTAÇÃO, ACESSIBILIDADE E SINALIZ. VIÁRIA</t>
  </si>
  <si>
    <t xml:space="preserve">PASSEIOS E RAMPAS </t>
  </si>
  <si>
    <t>4.1</t>
  </si>
  <si>
    <t>4.1.1</t>
  </si>
  <si>
    <t>4.2</t>
  </si>
  <si>
    <t>4.3</t>
  </si>
  <si>
    <t>4.4</t>
  </si>
  <si>
    <t>5.1.3</t>
  </si>
  <si>
    <t>5.1.4</t>
  </si>
  <si>
    <t>5.2.1</t>
  </si>
  <si>
    <t>6.3</t>
  </si>
  <si>
    <t>6.3.1</t>
  </si>
  <si>
    <t>6.4</t>
  </si>
  <si>
    <t>6.4.1</t>
  </si>
  <si>
    <t>6.4.2</t>
  </si>
  <si>
    <t>6.4.3</t>
  </si>
  <si>
    <t>Karen B. Almeida Esperança</t>
  </si>
  <si>
    <t>Engenheira Civil - CREA RS133204</t>
  </si>
  <si>
    <t>TRANSPORTE COMERCIAL DE BRITA- 21,6 Km</t>
  </si>
  <si>
    <t>SINALIZAÇÃO HORIZONTAL COM TINTA TERMOPLÁSTICA POR ASPERSÃO COR BRANCA (ZEBRAS)</t>
  </si>
  <si>
    <t>SINALIZAÇÃO HORIZONTAL C/ TINTA BASE ACRÍLICA BRANCA DURABIL. 24 MESES (FAIXAS TRACEJADAS-EIXO) - pintar da Av. 25 de julho até a Ferreira Veloso</t>
  </si>
  <si>
    <t>MEIO-FIO (GUIA) DE CONCRETO PRE-MOLDADO, 15x30x100, rejunt. c/ argamassa</t>
  </si>
  <si>
    <t>74223/001</t>
  </si>
  <si>
    <t>BASE P/ PAVIMENTAÇÃO COM BRITA GRADUADA - e=25 CM, INCLUSO COMPACTAÇÃO</t>
  </si>
  <si>
    <r>
      <t xml:space="preserve">TRANSPORTE COMERCIAL DE BRITA - </t>
    </r>
    <r>
      <rPr>
        <sz val="10"/>
        <rFont val="Arial"/>
        <family val="2"/>
      </rPr>
      <t>21,6Km</t>
    </r>
  </si>
  <si>
    <t>N° Contrato - 1008.563-78/2013</t>
  </si>
  <si>
    <t>TRANSPORTE COMERCIAL COM CAMINHAO BASCULANTE 6 M3, RODOVIA PAVIMENTADA, 25% DE EMPOLAMENTO, DISTÂNCIA 8,1KM</t>
  </si>
  <si>
    <t>COMPACTACAO MECANICA A 95% DO PROCTOR NORMAL - PAVIMENTACAO URBANA</t>
  </si>
  <si>
    <t>TRANSPORTE DE MASSA ASFALTICA, DISTÂNCIA 24KM</t>
  </si>
  <si>
    <t>DNIT SET/2014</t>
  </si>
  <si>
    <t>ESCAVAÇÃO DE VALAS ESCORADA</t>
  </si>
  <si>
    <t>ESCORAMENTO DE VALAS - DESCONTINUO (H=1,50 a 3,00m)</t>
  </si>
  <si>
    <t>TRANSP. LOCAL CAMINHAO BASCULANTE 6 M3, ROD. PAVIMET. DISTC. SUP. 4KM  -  25% EMPOLAMENTO DISTANCIA 21,6KM</t>
  </si>
  <si>
    <t>M3xKM</t>
  </si>
  <si>
    <t>FORNECIMENTO E ASSENT.TUBO CONCRETO SIMPLES 600mm</t>
  </si>
  <si>
    <t>ART/ RRT: 7866693 / 3263237</t>
  </si>
  <si>
    <t>AVENIDA SÃO JORGE</t>
  </si>
  <si>
    <t>PAVIMENTAÇÃO AVENIDA SÃO JORGE</t>
  </si>
  <si>
    <t>CRONOGRAMA FÍSICO FINANCEIRO</t>
  </si>
  <si>
    <t>BDI: 25%</t>
  </si>
  <si>
    <t>Ultima revisão: fev/2015</t>
  </si>
  <si>
    <t>Data base do SINAPI: Novembro/2014</t>
  </si>
  <si>
    <t>ÁREA DE INTERVENÇÃO: 1.266,00m²</t>
  </si>
  <si>
    <t>Destino : CAIXA ECONOMICA FEDERAL</t>
  </si>
  <si>
    <t>Identificação do projeto: PAVIMENTAÇÃO E DRNAGEM DA AVENIDA SÃO JORGE</t>
  </si>
  <si>
    <t>Tipo de Intervenção: Pavimentação e Drenagem da Av. São Jorge</t>
  </si>
  <si>
    <t>Endereço: Avenida São Jorge</t>
  </si>
  <si>
    <t>Identificação do Projeto: Pavimentação e Drenagem da Av. São Jorge</t>
  </si>
  <si>
    <t>Número de Contrato: 1008.563-78/2013</t>
  </si>
  <si>
    <t>Eng. Civil Karen B. Almeida Esperança</t>
  </si>
  <si>
    <t>Responsável técnica - UGP</t>
  </si>
  <si>
    <t>_______________________________</t>
  </si>
  <si>
    <t>Kaiser Garcia Fontoura</t>
  </si>
  <si>
    <t>Arquiteto e Urbansta - CAU RS A74856-0</t>
  </si>
  <si>
    <t>__________________________________________________________________________</t>
  </si>
  <si>
    <t>1.4.2</t>
  </si>
  <si>
    <t>1.4.3</t>
  </si>
  <si>
    <t>Arq. Kaiser Garcia Fontoura</t>
  </si>
  <si>
    <t>Responsável técnico - UGP</t>
  </si>
  <si>
    <t>3.5</t>
  </si>
  <si>
    <t>3.5.1</t>
  </si>
  <si>
    <t>3.5.2</t>
  </si>
  <si>
    <t>3.5.3</t>
  </si>
  <si>
    <t>3.5.4</t>
  </si>
  <si>
    <t>3.6</t>
  </si>
  <si>
    <t>3.6.1</t>
  </si>
  <si>
    <t>3.7</t>
  </si>
  <si>
    <t>3.7.1</t>
  </si>
  <si>
    <t>3.7.2</t>
  </si>
  <si>
    <t>3.7.3</t>
  </si>
  <si>
    <t>3.8</t>
  </si>
  <si>
    <t>3.9</t>
  </si>
  <si>
    <t>3.10</t>
  </si>
  <si>
    <r>
      <t>DATA BASE: NOVEMBRO</t>
    </r>
    <r>
      <rPr>
        <b/>
        <sz val="10"/>
        <color indexed="10"/>
        <rFont val="Arial"/>
        <family val="2"/>
      </rPr>
      <t>/2014</t>
    </r>
  </si>
  <si>
    <t>5.2.2</t>
  </si>
  <si>
    <t>5.2.3</t>
  </si>
  <si>
    <t>Item</t>
  </si>
  <si>
    <t>809,90 x 1,25 x 8,1 =</t>
  </si>
  <si>
    <t>quantidade escavada x empolamento x distancia do bota-fora</t>
  </si>
  <si>
    <t>7793 + 73722</t>
  </si>
  <si>
    <t>Area da Intervenção: 1.157,00m2</t>
  </si>
  <si>
    <t>REATERRO E COMPACTAÇÃO DE VALA COM COMPACTADOR MANUAL</t>
  </si>
  <si>
    <t>TRANSPORTE COMERCIAL COM CAMINHAO BASCULANTE 6 M3, RODOVIA PAVIMENTADA, EMPOLAMENTO 25%DISTÂNCIA 8,1KM</t>
  </si>
  <si>
    <t>dimensao 1,30x1,40</t>
  </si>
  <si>
    <t>altura (profundidade)</t>
  </si>
  <si>
    <t>PV's - alvenaria</t>
  </si>
  <si>
    <t xml:space="preserve">pv 4 - </t>
  </si>
  <si>
    <t xml:space="preserve">pv 3 - </t>
  </si>
  <si>
    <t xml:space="preserve">pv 2 - </t>
  </si>
  <si>
    <t xml:space="preserve">pv 1 - </t>
  </si>
  <si>
    <t xml:space="preserve">pv 5 - </t>
  </si>
  <si>
    <t xml:space="preserve">pv 8 - </t>
  </si>
  <si>
    <t xml:space="preserve">pv 7 - </t>
  </si>
  <si>
    <t xml:space="preserve">PLACA DE OBRA ESTRUTURA EM AÇO GALVANIZADO, DIMENSÃO DE 3,20MX2,00M -PADRÃO CAIXA - 1 UNID. </t>
  </si>
  <si>
    <t>5.2.4</t>
  </si>
  <si>
    <t>PLACA RETANGULAR (LOGRADOURO) LADO=0,70MX0,45M - INCLUSO SUP. TIPO S1</t>
  </si>
  <si>
    <t xml:space="preserve">PLACA RETANGULAR (LATERAIS AO LOGRADOURO)  </t>
  </si>
  <si>
    <t>3.7.4</t>
  </si>
  <si>
    <t>m3</t>
  </si>
  <si>
    <t>Formula</t>
  </si>
  <si>
    <t>PV4</t>
  </si>
  <si>
    <t>PV3</t>
  </si>
  <si>
    <t>PV 2</t>
  </si>
  <si>
    <t>PV 1</t>
  </si>
  <si>
    <t>PV 5</t>
  </si>
  <si>
    <t>PV 8</t>
  </si>
  <si>
    <t>PV 7</t>
  </si>
  <si>
    <t xml:space="preserve">Total </t>
  </si>
  <si>
    <t>SERVIÇOS DE CONTRAPARTIDA DO MUNICIPIO - SINALIZAÇÃO DE OBRA</t>
  </si>
  <si>
    <t>PISO TÁTIL DIRECIONAL- AMARELO 20X20, ASSENTADO C/ ARGAMASA COLANTE</t>
  </si>
  <si>
    <t>4.5</t>
  </si>
  <si>
    <t>PISO TÁTIL ALERTA- VERMELHO 20X20, ASSENTADO C/ ARGAMASA COLANTE</t>
  </si>
  <si>
    <t>5.1.2</t>
  </si>
  <si>
    <t>Item 3.7.3</t>
  </si>
  <si>
    <t>TAMPA CONCRETO 1,30X1,40 PARA CX DE INSPEÇÃO e=10cm</t>
  </si>
  <si>
    <t>(1,30+1,3+1,4-0,20+1,4-0,20) x prof. do pv x 0,20 espessura da parede =</t>
  </si>
  <si>
    <t>5,0 x prof. do pv x 0,20 =</t>
  </si>
  <si>
    <t>5 x 1,71 x 0,20 =</t>
  </si>
  <si>
    <t>5 x 1,42 x 0,20 =</t>
  </si>
  <si>
    <t>5 x 1,39 x 0,20 =</t>
  </si>
  <si>
    <t>5 x 1,26 x 0,20 =</t>
  </si>
  <si>
    <t>5 x 1,20 x 0,20 =</t>
  </si>
  <si>
    <t>5 x 1,30 x 0,20 =</t>
  </si>
  <si>
    <t>Item 3.7.4</t>
  </si>
  <si>
    <t>Revestimento argamassa</t>
  </si>
  <si>
    <t>(0,90+0,90+1,0+1,0) x prof. PV x 0,02 espessura =</t>
  </si>
  <si>
    <t>3,80 x prof. PV x 0,02 =</t>
  </si>
  <si>
    <t>Profundidades:</t>
  </si>
  <si>
    <t xml:space="preserve">3,80 x 1,71 x 0,02 = </t>
  </si>
  <si>
    <t>3,80 x 1,39 x 0,02 =</t>
  </si>
  <si>
    <t>3,80 x 1,42 x 0,02 =</t>
  </si>
  <si>
    <t>3,80 x 1,26 x 0,02 =</t>
  </si>
  <si>
    <t>3,80 x 1,20 x 0,02 =</t>
  </si>
  <si>
    <t>3,80 x 1,30 x 0,02 =</t>
  </si>
  <si>
    <t>Total =</t>
  </si>
  <si>
    <r>
      <t>SINALIZAÇÃO DE OBRA</t>
    </r>
    <r>
      <rPr>
        <b/>
        <sz val="10"/>
        <rFont val="Arial"/>
        <family val="2"/>
      </rPr>
      <t xml:space="preserve"> (CONTRAPARTIDA ADICIONAL DO MUNICÍPIO)</t>
    </r>
  </si>
  <si>
    <t>PARCELA 02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</si>
</sst>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&quot;R$ &quot;#,##0.00"/>
    <numFmt numFmtId="174" formatCode="#,###.00"/>
    <numFmt numFmtId="175" formatCode="#,##0.00\ ;\-#,##0.00\ ;&quot; -&quot;#\ ;@\ "/>
    <numFmt numFmtId="176" formatCode="0.000"/>
    <numFmt numFmtId="177" formatCode="#,##0.000"/>
    <numFmt numFmtId="178" formatCode="0.0%"/>
    <numFmt numFmtId="179" formatCode="0.00000"/>
    <numFmt numFmtId="180" formatCode="0.000000"/>
    <numFmt numFmtId="181" formatCode="0.0000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20"/>
      <color indexed="8"/>
      <name val="Calibri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u val="single"/>
      <sz val="10"/>
      <name val="Arial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7" fillId="21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0" fontId="9" fillId="0" borderId="10" xfId="0" applyNumberFormat="1" applyFont="1" applyFill="1" applyBorder="1" applyAlignment="1">
      <alignment vertical="center"/>
    </xf>
    <xf numFmtId="9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10" fontId="3" fillId="0" borderId="13" xfId="53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4" fontId="16" fillId="0" borderId="10" xfId="0" applyNumberFormat="1" applyFont="1" applyFill="1" applyBorder="1" applyAlignment="1">
      <alignment horizontal="left"/>
    </xf>
    <xf numFmtId="10" fontId="4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0" fontId="3" fillId="0" borderId="17" xfId="53" applyNumberFormat="1" applyFont="1" applyFill="1" applyBorder="1" applyAlignment="1" applyProtection="1">
      <alignment/>
      <protection/>
    </xf>
    <xf numFmtId="0" fontId="15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0" fontId="18" fillId="33" borderId="20" xfId="0" applyNumberFormat="1" applyFont="1" applyFill="1" applyBorder="1" applyAlignment="1">
      <alignment/>
    </xf>
    <xf numFmtId="0" fontId="0" fillId="33" borderId="0" xfId="0" applyFill="1" applyAlignment="1">
      <alignment/>
    </xf>
    <xf numFmtId="10" fontId="4" fillId="33" borderId="0" xfId="0" applyNumberFormat="1" applyFont="1" applyFill="1" applyAlignment="1">
      <alignment/>
    </xf>
    <xf numFmtId="0" fontId="2" fillId="0" borderId="2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0" fontId="3" fillId="0" borderId="13" xfId="53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/>
    </xf>
    <xf numFmtId="4" fontId="16" fillId="0" borderId="15" xfId="0" applyNumberFormat="1" applyFont="1" applyFill="1" applyBorder="1" applyAlignment="1">
      <alignment horizontal="left"/>
    </xf>
    <xf numFmtId="173" fontId="18" fillId="0" borderId="15" xfId="0" applyNumberFormat="1" applyFont="1" applyFill="1" applyBorder="1" applyAlignment="1">
      <alignment horizontal="center"/>
    </xf>
    <xf numFmtId="10" fontId="18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0" fontId="4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15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0" fontId="3" fillId="0" borderId="13" xfId="53" applyNumberFormat="1" applyFont="1" applyFill="1" applyBorder="1" applyAlignment="1" applyProtection="1">
      <alignment horizontal="right" vertical="center"/>
      <protection/>
    </xf>
    <xf numFmtId="10" fontId="18" fillId="33" borderId="20" xfId="53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0" fontId="3" fillId="0" borderId="17" xfId="0" applyNumberFormat="1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51" applyFont="1" applyAlignment="1" applyProtection="1">
      <alignment horizontal="center"/>
      <protection/>
    </xf>
    <xf numFmtId="0" fontId="1" fillId="0" borderId="0" xfId="51" applyFont="1" applyProtection="1">
      <alignment/>
      <protection/>
    </xf>
    <xf numFmtId="0" fontId="1" fillId="34" borderId="10" xfId="51" applyFont="1" applyFill="1" applyBorder="1" applyAlignment="1" applyProtection="1">
      <alignment horizontal="center" vertical="center"/>
      <protection/>
    </xf>
    <xf numFmtId="0" fontId="1" fillId="34" borderId="10" xfId="51" applyFont="1" applyFill="1" applyBorder="1" applyAlignment="1" applyProtection="1">
      <alignment horizontal="center"/>
      <protection/>
    </xf>
    <xf numFmtId="10" fontId="1" fillId="0" borderId="10" xfId="51" applyNumberFormat="1" applyFont="1" applyBorder="1" applyAlignment="1" applyProtection="1">
      <alignment horizontal="center" vertical="center"/>
      <protection/>
    </xf>
    <xf numFmtId="173" fontId="1" fillId="0" borderId="10" xfId="51" applyNumberFormat="1" applyFont="1" applyBorder="1" applyAlignment="1" applyProtection="1">
      <alignment horizontal="center" vertical="center"/>
      <protection/>
    </xf>
    <xf numFmtId="10" fontId="1" fillId="0" borderId="10" xfId="51" applyNumberFormat="1" applyFont="1" applyFill="1" applyBorder="1" applyAlignment="1" applyProtection="1">
      <alignment horizontal="center" vertical="center"/>
      <protection/>
    </xf>
    <xf numFmtId="173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Protection="1">
      <alignment/>
      <protection/>
    </xf>
    <xf numFmtId="0" fontId="20" fillId="0" borderId="0" xfId="51" applyFont="1" applyProtection="1">
      <alignment/>
      <protection/>
    </xf>
    <xf numFmtId="49" fontId="9" fillId="33" borderId="25" xfId="44" applyNumberFormat="1" applyFont="1" applyFill="1" applyBorder="1" applyAlignment="1" applyProtection="1">
      <alignment horizontal="right" wrapText="1"/>
      <protection/>
    </xf>
    <xf numFmtId="175" fontId="9" fillId="33" borderId="26" xfId="55" applyNumberFormat="1" applyFont="1" applyFill="1" applyBorder="1" applyAlignment="1" applyProtection="1">
      <alignment horizontal="right" wrapText="1"/>
      <protection/>
    </xf>
    <xf numFmtId="175" fontId="9" fillId="33" borderId="27" xfId="55" applyNumberFormat="1" applyFont="1" applyFill="1" applyBorder="1" applyAlignment="1" applyProtection="1">
      <alignment horizontal="right" wrapText="1"/>
      <protection/>
    </xf>
    <xf numFmtId="49" fontId="9" fillId="33" borderId="28" xfId="44" applyNumberFormat="1" applyFont="1" applyFill="1" applyBorder="1" applyAlignment="1" applyProtection="1">
      <alignment horizontal="right" wrapText="1"/>
      <protection/>
    </xf>
    <xf numFmtId="0" fontId="9" fillId="33" borderId="29" xfId="44" applyNumberFormat="1" applyFont="1" applyFill="1" applyBorder="1" applyAlignment="1" applyProtection="1">
      <alignment horizontal="left" wrapText="1"/>
      <protection/>
    </xf>
    <xf numFmtId="0" fontId="9" fillId="33" borderId="29" xfId="44" applyNumberFormat="1" applyFont="1" applyFill="1" applyBorder="1" applyAlignment="1" applyProtection="1">
      <alignment horizontal="right" wrapText="1"/>
      <protection/>
    </xf>
    <xf numFmtId="49" fontId="9" fillId="35" borderId="0" xfId="44" applyNumberFormat="1" applyFont="1" applyFill="1" applyBorder="1" applyAlignment="1" applyProtection="1">
      <alignment horizontal="right" wrapText="1"/>
      <protection/>
    </xf>
    <xf numFmtId="0" fontId="9" fillId="35" borderId="0" xfId="44" applyNumberFormat="1" applyFont="1" applyFill="1" applyBorder="1" applyAlignment="1" applyProtection="1">
      <alignment horizontal="left" wrapText="1"/>
      <protection/>
    </xf>
    <xf numFmtId="0" fontId="9" fillId="35" borderId="0" xfId="44" applyNumberFormat="1" applyFont="1" applyFill="1" applyBorder="1" applyAlignment="1" applyProtection="1">
      <alignment horizontal="right" wrapText="1"/>
      <protection/>
    </xf>
    <xf numFmtId="175" fontId="9" fillId="35" borderId="0" xfId="55" applyNumberFormat="1" applyFont="1" applyFill="1" applyBorder="1" applyAlignment="1" applyProtection="1">
      <alignment horizontal="right" wrapText="1"/>
      <protection/>
    </xf>
    <xf numFmtId="49" fontId="9" fillId="33" borderId="10" xfId="44" applyNumberFormat="1" applyFont="1" applyFill="1" applyBorder="1" applyAlignment="1" applyProtection="1">
      <alignment horizontal="center" vertical="center" wrapText="1"/>
      <protection/>
    </xf>
    <xf numFmtId="0" fontId="9" fillId="33" borderId="10" xfId="44" applyNumberFormat="1" applyFont="1" applyFill="1" applyBorder="1" applyAlignment="1" applyProtection="1">
      <alignment horizontal="center" vertical="center" wrapText="1"/>
      <protection/>
    </xf>
    <xf numFmtId="175" fontId="9" fillId="33" borderId="10" xfId="55" applyNumberFormat="1" applyFont="1" applyFill="1" applyBorder="1" applyAlignment="1" applyProtection="1">
      <alignment horizontal="right" vertical="center" wrapText="1"/>
      <protection/>
    </xf>
    <xf numFmtId="175" fontId="9" fillId="33" borderId="10" xfId="55" applyNumberFormat="1" applyFont="1" applyFill="1" applyBorder="1" applyAlignment="1" applyProtection="1">
      <alignment horizontal="center" vertical="center" wrapText="1"/>
      <protection/>
    </xf>
    <xf numFmtId="49" fontId="22" fillId="35" borderId="10" xfId="44" applyNumberFormat="1" applyFont="1" applyFill="1" applyBorder="1" applyAlignment="1">
      <alignment horizontal="right" vertical="top" wrapText="1"/>
      <protection/>
    </xf>
    <xf numFmtId="4" fontId="22" fillId="35" borderId="10" xfId="44" applyNumberFormat="1" applyFont="1" applyFill="1" applyBorder="1" applyAlignment="1">
      <alignment horizontal="left" vertical="top" wrapText="1"/>
      <protection/>
    </xf>
    <xf numFmtId="0" fontId="22" fillId="35" borderId="10" xfId="44" applyFont="1" applyFill="1" applyBorder="1" applyAlignment="1">
      <alignment horizontal="center" vertical="top" wrapText="1"/>
      <protection/>
    </xf>
    <xf numFmtId="4" fontId="22" fillId="35" borderId="10" xfId="44" applyNumberFormat="1" applyFont="1" applyFill="1" applyBorder="1" applyAlignment="1">
      <alignment horizontal="right" vertical="top" wrapText="1"/>
      <protection/>
    </xf>
    <xf numFmtId="4" fontId="23" fillId="35" borderId="10" xfId="44" applyNumberFormat="1" applyFont="1" applyFill="1" applyBorder="1" applyAlignment="1">
      <alignment horizontal="right" vertical="top" wrapText="1"/>
      <protection/>
    </xf>
    <xf numFmtId="49" fontId="24" fillId="33" borderId="10" xfId="44" applyNumberFormat="1" applyFont="1" applyFill="1" applyBorder="1" applyAlignment="1">
      <alignment horizontal="left" vertical="top" wrapText="1"/>
      <protection/>
    </xf>
    <xf numFmtId="0" fontId="24" fillId="33" borderId="10" xfId="44" applyFont="1" applyFill="1" applyBorder="1" applyAlignment="1">
      <alignment horizontal="left" vertical="top" wrapText="1"/>
      <protection/>
    </xf>
    <xf numFmtId="0" fontId="24" fillId="33" borderId="10" xfId="44" applyFont="1" applyFill="1" applyBorder="1" applyAlignment="1">
      <alignment horizontal="center" vertical="top" wrapText="1"/>
      <protection/>
    </xf>
    <xf numFmtId="0" fontId="24" fillId="33" borderId="10" xfId="44" applyFont="1" applyFill="1" applyBorder="1" applyAlignment="1">
      <alignment horizontal="right" vertical="top" wrapText="1"/>
      <protection/>
    </xf>
    <xf numFmtId="49" fontId="24" fillId="33" borderId="10" xfId="44" applyNumberFormat="1" applyFont="1" applyFill="1" applyBorder="1" applyAlignment="1">
      <alignment horizontal="right" vertical="top" wrapText="1"/>
      <protection/>
    </xf>
    <xf numFmtId="176" fontId="24" fillId="33" borderId="10" xfId="44" applyNumberFormat="1" applyFont="1" applyFill="1" applyBorder="1" applyAlignment="1">
      <alignment horizontal="right" vertical="top" wrapText="1"/>
      <protection/>
    </xf>
    <xf numFmtId="4" fontId="24" fillId="33" borderId="10" xfId="44" applyNumberFormat="1" applyFont="1" applyFill="1" applyBorder="1" applyAlignment="1">
      <alignment horizontal="right" vertical="top" wrapText="1"/>
      <protection/>
    </xf>
    <xf numFmtId="49" fontId="22" fillId="0" borderId="10" xfId="44" applyNumberFormat="1" applyFont="1" applyFill="1" applyBorder="1" applyAlignment="1">
      <alignment horizontal="right" vertical="top" wrapText="1"/>
      <protection/>
    </xf>
    <xf numFmtId="4" fontId="22" fillId="0" borderId="10" xfId="44" applyNumberFormat="1" applyFont="1" applyFill="1" applyBorder="1" applyAlignment="1">
      <alignment horizontal="left" vertical="top" wrapText="1"/>
      <protection/>
    </xf>
    <xf numFmtId="4" fontId="22" fillId="0" borderId="10" xfId="44" applyNumberFormat="1" applyFont="1" applyFill="1" applyBorder="1" applyAlignment="1">
      <alignment horizontal="center" vertical="top" wrapText="1"/>
      <protection/>
    </xf>
    <xf numFmtId="4" fontId="22" fillId="0" borderId="10" xfId="44" applyNumberFormat="1" applyFont="1" applyFill="1" applyBorder="1" applyAlignment="1">
      <alignment horizontal="right" vertical="top" wrapText="1"/>
      <protection/>
    </xf>
    <xf numFmtId="177" fontId="22" fillId="0" borderId="10" xfId="44" applyNumberFormat="1" applyFont="1" applyFill="1" applyBorder="1" applyAlignment="1">
      <alignment horizontal="right" vertical="top" wrapText="1"/>
      <protection/>
    </xf>
    <xf numFmtId="0" fontId="22" fillId="0" borderId="10" xfId="0" applyFont="1" applyBorder="1" applyAlignment="1">
      <alignment vertical="center"/>
    </xf>
    <xf numFmtId="0" fontId="3" fillId="36" borderId="30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9" fillId="36" borderId="31" xfId="0" applyFont="1" applyFill="1" applyBorder="1" applyAlignment="1">
      <alignment horizontal="left"/>
    </xf>
    <xf numFmtId="0" fontId="9" fillId="36" borderId="31" xfId="0" applyFont="1" applyFill="1" applyBorder="1" applyAlignment="1">
      <alignment vertical="center" wrapText="1"/>
    </xf>
    <xf numFmtId="0" fontId="3" fillId="36" borderId="31" xfId="0" applyFont="1" applyFill="1" applyBorder="1" applyAlignment="1">
      <alignment horizontal="center"/>
    </xf>
    <xf numFmtId="4" fontId="3" fillId="36" borderId="31" xfId="0" applyNumberFormat="1" applyFont="1" applyFill="1" applyBorder="1" applyAlignment="1">
      <alignment horizontal="center"/>
    </xf>
    <xf numFmtId="4" fontId="13" fillId="36" borderId="31" xfId="0" applyNumberFormat="1" applyFont="1" applyFill="1" applyBorder="1" applyAlignment="1">
      <alignment/>
    </xf>
    <xf numFmtId="4" fontId="14" fillId="36" borderId="31" xfId="0" applyNumberFormat="1" applyFont="1" applyFill="1" applyBorder="1" applyAlignment="1">
      <alignment/>
    </xf>
    <xf numFmtId="0" fontId="13" fillId="36" borderId="32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9" fillId="36" borderId="15" xfId="0" applyFont="1" applyFill="1" applyBorder="1" applyAlignment="1">
      <alignment horizontal="left"/>
    </xf>
    <xf numFmtId="0" fontId="9" fillId="36" borderId="15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horizontal="center"/>
    </xf>
    <xf numFmtId="4" fontId="3" fillId="36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4" fillId="36" borderId="15" xfId="0" applyFont="1" applyFill="1" applyBorder="1" applyAlignment="1">
      <alignment/>
    </xf>
    <xf numFmtId="2" fontId="1" fillId="36" borderId="10" xfId="0" applyNumberFormat="1" applyFont="1" applyFill="1" applyBorder="1" applyAlignment="1">
      <alignment horizontal="right"/>
    </xf>
    <xf numFmtId="0" fontId="0" fillId="36" borderId="22" xfId="0" applyFill="1" applyBorder="1" applyAlignment="1">
      <alignment/>
    </xf>
    <xf numFmtId="2" fontId="1" fillId="36" borderId="10" xfId="0" applyNumberFormat="1" applyFont="1" applyFill="1" applyBorder="1" applyAlignment="1">
      <alignment horizontal="right" vertical="center"/>
    </xf>
    <xf numFmtId="0" fontId="15" fillId="36" borderId="21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20" fillId="36" borderId="15" xfId="0" applyFont="1" applyFill="1" applyBorder="1" applyAlignment="1">
      <alignment horizontal="left"/>
    </xf>
    <xf numFmtId="0" fontId="20" fillId="36" borderId="15" xfId="0" applyFont="1" applyFill="1" applyBorder="1" applyAlignment="1">
      <alignment horizontal="left" vertical="center" wrapText="1"/>
    </xf>
    <xf numFmtId="0" fontId="16" fillId="36" borderId="15" xfId="0" applyFont="1" applyFill="1" applyBorder="1" applyAlignment="1">
      <alignment horizontal="left"/>
    </xf>
    <xf numFmtId="4" fontId="16" fillId="36" borderId="15" xfId="0" applyNumberFormat="1" applyFont="1" applyFill="1" applyBorder="1" applyAlignment="1">
      <alignment horizontal="left"/>
    </xf>
    <xf numFmtId="173" fontId="18" fillId="36" borderId="15" xfId="0" applyNumberFormat="1" applyFont="1" applyFill="1" applyBorder="1" applyAlignment="1">
      <alignment horizontal="center"/>
    </xf>
    <xf numFmtId="10" fontId="18" fillId="36" borderId="22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4" fontId="3" fillId="0" borderId="34" xfId="0" applyNumberFormat="1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 horizontal="right"/>
    </xf>
    <xf numFmtId="0" fontId="2" fillId="37" borderId="16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vertical="center" wrapText="1"/>
    </xf>
    <xf numFmtId="4" fontId="3" fillId="37" borderId="11" xfId="0" applyNumberFormat="1" applyFont="1" applyFill="1" applyBorder="1" applyAlignment="1">
      <alignment/>
    </xf>
    <xf numFmtId="4" fontId="1" fillId="37" borderId="11" xfId="0" applyNumberFormat="1" applyFont="1" applyFill="1" applyBorder="1" applyAlignment="1">
      <alignment/>
    </xf>
    <xf numFmtId="4" fontId="1" fillId="37" borderId="11" xfId="0" applyNumberFormat="1" applyFont="1" applyFill="1" applyBorder="1" applyAlignment="1">
      <alignment horizontal="right"/>
    </xf>
    <xf numFmtId="0" fontId="2" fillId="37" borderId="36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0" fillId="37" borderId="36" xfId="0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9" fontId="9" fillId="0" borderId="37" xfId="0" applyNumberFormat="1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51" applyFont="1" applyBorder="1" applyAlignment="1" applyProtection="1">
      <alignment horizontal="center"/>
      <protection/>
    </xf>
    <xf numFmtId="0" fontId="1" fillId="0" borderId="43" xfId="51" applyFont="1" applyBorder="1" applyProtection="1">
      <alignment/>
      <protection/>
    </xf>
    <xf numFmtId="0" fontId="1" fillId="0" borderId="44" xfId="51" applyFont="1" applyBorder="1" applyProtection="1">
      <alignment/>
      <protection/>
    </xf>
    <xf numFmtId="0" fontId="5" fillId="0" borderId="45" xfId="0" applyFont="1" applyBorder="1" applyAlignment="1">
      <alignment vertical="center"/>
    </xf>
    <xf numFmtId="0" fontId="1" fillId="0" borderId="0" xfId="51" applyFont="1" applyBorder="1" applyProtection="1">
      <alignment/>
      <protection/>
    </xf>
    <xf numFmtId="0" fontId="1" fillId="0" borderId="45" xfId="51" applyFont="1" applyBorder="1" applyProtection="1">
      <alignment/>
      <protection/>
    </xf>
    <xf numFmtId="0" fontId="1" fillId="0" borderId="0" xfId="51" applyFont="1" applyFill="1" applyBorder="1" applyProtection="1">
      <alignment/>
      <protection/>
    </xf>
    <xf numFmtId="0" fontId="1" fillId="0" borderId="45" xfId="51" applyFont="1" applyFill="1" applyBorder="1" applyProtection="1">
      <alignment/>
      <protection/>
    </xf>
    <xf numFmtId="0" fontId="20" fillId="0" borderId="0" xfId="51" applyFont="1" applyBorder="1" applyProtection="1">
      <alignment/>
      <protection/>
    </xf>
    <xf numFmtId="0" fontId="20" fillId="0" borderId="45" xfId="51" applyFont="1" applyBorder="1" applyProtection="1">
      <alignment/>
      <protection/>
    </xf>
    <xf numFmtId="0" fontId="1" fillId="0" borderId="46" xfId="51" applyFont="1" applyBorder="1" applyAlignment="1" applyProtection="1">
      <alignment horizontal="center"/>
      <protection/>
    </xf>
    <xf numFmtId="0" fontId="1" fillId="0" borderId="0" xfId="51" applyFont="1" applyBorder="1" applyAlignment="1" applyProtection="1">
      <alignment horizontal="center"/>
      <protection/>
    </xf>
    <xf numFmtId="0" fontId="27" fillId="0" borderId="0" xfId="51" applyFont="1" applyBorder="1" applyProtection="1">
      <alignment/>
      <protection/>
    </xf>
    <xf numFmtId="0" fontId="1" fillId="0" borderId="47" xfId="51" applyFont="1" applyBorder="1" applyAlignment="1" applyProtection="1">
      <alignment horizontal="center"/>
      <protection/>
    </xf>
    <xf numFmtId="0" fontId="1" fillId="0" borderId="48" xfId="51" applyFont="1" applyBorder="1" applyProtection="1">
      <alignment/>
      <protection/>
    </xf>
    <xf numFmtId="0" fontId="1" fillId="0" borderId="49" xfId="51" applyFont="1" applyBorder="1" applyProtection="1">
      <alignment/>
      <protection/>
    </xf>
    <xf numFmtId="0" fontId="15" fillId="37" borderId="12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left"/>
    </xf>
    <xf numFmtId="4" fontId="16" fillId="37" borderId="10" xfId="0" applyNumberFormat="1" applyFont="1" applyFill="1" applyBorder="1" applyAlignment="1">
      <alignment horizontal="left"/>
    </xf>
    <xf numFmtId="10" fontId="3" fillId="37" borderId="13" xfId="53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>
      <alignment horizontal="right"/>
    </xf>
    <xf numFmtId="4" fontId="1" fillId="37" borderId="10" xfId="0" applyNumberFormat="1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5" xfId="0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0" fontId="3" fillId="37" borderId="24" xfId="0" applyFont="1" applyFill="1" applyBorder="1" applyAlignment="1">
      <alignment horizontal="center"/>
    </xf>
    <xf numFmtId="4" fontId="1" fillId="37" borderId="24" xfId="0" applyNumberFormat="1" applyFont="1" applyFill="1" applyBorder="1" applyAlignment="1">
      <alignment horizontal="center"/>
    </xf>
    <xf numFmtId="10" fontId="3" fillId="37" borderId="17" xfId="53" applyNumberFormat="1" applyFont="1" applyFill="1" applyBorder="1" applyAlignment="1" applyProtection="1">
      <alignment/>
      <protection/>
    </xf>
    <xf numFmtId="0" fontId="0" fillId="38" borderId="42" xfId="0" applyFill="1" applyBorder="1" applyAlignment="1">
      <alignment horizontal="center"/>
    </xf>
    <xf numFmtId="0" fontId="0" fillId="38" borderId="4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38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38" borderId="46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46" xfId="0" applyBorder="1" applyAlignment="1">
      <alignment horizontal="right"/>
    </xf>
    <xf numFmtId="2" fontId="0" fillId="0" borderId="0" xfId="0" applyNumberFormat="1" applyBorder="1" applyAlignment="1">
      <alignment/>
    </xf>
    <xf numFmtId="0" fontId="19" fillId="0" borderId="36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4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9" fillId="0" borderId="46" xfId="0" applyFont="1" applyBorder="1" applyAlignment="1">
      <alignment/>
    </xf>
    <xf numFmtId="0" fontId="29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10" fontId="3" fillId="0" borderId="17" xfId="53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" fontId="0" fillId="0" borderId="45" xfId="0" applyNumberFormat="1" applyBorder="1" applyAlignment="1">
      <alignment/>
    </xf>
    <xf numFmtId="0" fontId="2" fillId="39" borderId="50" xfId="0" applyFont="1" applyFill="1" applyBorder="1" applyAlignment="1">
      <alignment/>
    </xf>
    <xf numFmtId="0" fontId="3" fillId="39" borderId="51" xfId="0" applyFont="1" applyFill="1" applyBorder="1" applyAlignment="1">
      <alignment/>
    </xf>
    <xf numFmtId="0" fontId="10" fillId="39" borderId="51" xfId="0" applyFont="1" applyFill="1" applyBorder="1" applyAlignment="1">
      <alignment vertical="center"/>
    </xf>
    <xf numFmtId="10" fontId="10" fillId="39" borderId="52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vertical="center" wrapText="1"/>
    </xf>
    <xf numFmtId="0" fontId="3" fillId="40" borderId="11" xfId="0" applyFont="1" applyFill="1" applyBorder="1" applyAlignment="1">
      <alignment vertical="center" wrapText="1"/>
    </xf>
    <xf numFmtId="0" fontId="3" fillId="40" borderId="14" xfId="0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 wrapText="1"/>
    </xf>
    <xf numFmtId="173" fontId="18" fillId="33" borderId="19" xfId="0" applyNumberFormat="1" applyFont="1" applyFill="1" applyBorder="1" applyAlignment="1">
      <alignment horizontal="center"/>
    </xf>
    <xf numFmtId="173" fontId="10" fillId="41" borderId="56" xfId="0" applyNumberFormat="1" applyFont="1" applyFill="1" applyBorder="1" applyAlignment="1">
      <alignment horizontal="center" vertical="center"/>
    </xf>
    <xf numFmtId="173" fontId="10" fillId="41" borderId="57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left" vertical="center" wrapText="1"/>
    </xf>
    <xf numFmtId="0" fontId="10" fillId="41" borderId="56" xfId="0" applyFont="1" applyFill="1" applyBorder="1" applyAlignment="1">
      <alignment horizontal="left" vertical="center" wrapText="1"/>
    </xf>
    <xf numFmtId="0" fontId="10" fillId="39" borderId="51" xfId="0" applyFont="1" applyFill="1" applyBorder="1" applyAlignment="1">
      <alignment horizontal="left" vertical="center" wrapText="1"/>
    </xf>
    <xf numFmtId="173" fontId="10" fillId="39" borderId="51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0" fillId="0" borderId="64" xfId="51" applyFont="1" applyBorder="1" applyAlignment="1" applyProtection="1">
      <alignment horizontal="center" vertical="center"/>
      <protection/>
    </xf>
    <xf numFmtId="0" fontId="20" fillId="0" borderId="10" xfId="51" applyFont="1" applyBorder="1" applyAlignment="1" applyProtection="1">
      <alignment horizontal="left" vertical="center"/>
      <protection/>
    </xf>
    <xf numFmtId="10" fontId="1" fillId="0" borderId="10" xfId="51" applyNumberFormat="1" applyFont="1" applyBorder="1" applyAlignment="1" applyProtection="1">
      <alignment horizontal="center" vertical="center"/>
      <protection/>
    </xf>
    <xf numFmtId="173" fontId="1" fillId="0" borderId="10" xfId="51" applyNumberFormat="1" applyFont="1" applyBorder="1" applyAlignment="1" applyProtection="1">
      <alignment horizontal="center" vertical="center"/>
      <protection/>
    </xf>
    <xf numFmtId="0" fontId="1" fillId="34" borderId="10" xfId="51" applyFont="1" applyFill="1" applyBorder="1" applyAlignment="1" applyProtection="1">
      <alignment horizontal="center" wrapText="1"/>
      <protection/>
    </xf>
    <xf numFmtId="0" fontId="3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34" borderId="10" xfId="51" applyFont="1" applyFill="1" applyBorder="1" applyAlignment="1" applyProtection="1">
      <alignment horizontal="center"/>
      <protection/>
    </xf>
    <xf numFmtId="0" fontId="1" fillId="34" borderId="64" xfId="51" applyFont="1" applyFill="1" applyBorder="1" applyAlignment="1" applyProtection="1">
      <alignment horizontal="center" vertical="center"/>
      <protection/>
    </xf>
    <xf numFmtId="0" fontId="1" fillId="34" borderId="10" xfId="51" applyFont="1" applyFill="1" applyBorder="1" applyAlignment="1" applyProtection="1">
      <alignment horizontal="center" vertical="center"/>
      <protection/>
    </xf>
    <xf numFmtId="173" fontId="1" fillId="0" borderId="10" xfId="51" applyNumberFormat="1" applyFont="1" applyFill="1" applyBorder="1" applyAlignment="1" applyProtection="1">
      <alignment horizontal="center" vertical="center"/>
      <protection/>
    </xf>
    <xf numFmtId="10" fontId="1" fillId="0" borderId="10" xfId="51" applyNumberFormat="1" applyFont="1" applyFill="1" applyBorder="1" applyAlignment="1" applyProtection="1">
      <alignment horizontal="center" vertical="center"/>
      <protection/>
    </xf>
    <xf numFmtId="0" fontId="20" fillId="0" borderId="64" xfId="51" applyFont="1" applyFill="1" applyBorder="1" applyAlignment="1" applyProtection="1">
      <alignment horizontal="center" vertical="center"/>
      <protection/>
    </xf>
    <xf numFmtId="0" fontId="20" fillId="0" borderId="10" xfId="51" applyFont="1" applyFill="1" applyBorder="1" applyAlignment="1" applyProtection="1">
      <alignment horizontal="left" vertical="center"/>
      <protection/>
    </xf>
    <xf numFmtId="10" fontId="20" fillId="33" borderId="10" xfId="51" applyNumberFormat="1" applyFont="1" applyFill="1" applyBorder="1" applyAlignment="1" applyProtection="1">
      <alignment horizontal="center" vertical="center"/>
      <protection/>
    </xf>
    <xf numFmtId="173" fontId="20" fillId="33" borderId="10" xfId="51" applyNumberFormat="1" applyFont="1" applyFill="1" applyBorder="1" applyAlignment="1" applyProtection="1">
      <alignment horizontal="center" vertical="center"/>
      <protection/>
    </xf>
    <xf numFmtId="0" fontId="20" fillId="33" borderId="64" xfId="51" applyFont="1" applyFill="1" applyBorder="1" applyAlignment="1" applyProtection="1">
      <alignment horizontal="center" vertical="center"/>
      <protection/>
    </xf>
    <xf numFmtId="0" fontId="20" fillId="33" borderId="10" xfId="51" applyFont="1" applyFill="1" applyBorder="1" applyAlignment="1" applyProtection="1">
      <alignment horizontal="left" vertical="center"/>
      <protection/>
    </xf>
    <xf numFmtId="0" fontId="9" fillId="33" borderId="26" xfId="44" applyNumberFormat="1" applyFont="1" applyFill="1" applyBorder="1" applyAlignment="1" applyProtection="1">
      <alignment horizontal="left" wrapText="1"/>
      <protection/>
    </xf>
    <xf numFmtId="0" fontId="9" fillId="33" borderId="29" xfId="44" applyNumberFormat="1" applyFont="1" applyFill="1" applyBorder="1" applyAlignment="1" applyProtection="1">
      <alignment horizontal="left" wrapText="1"/>
      <protection/>
    </xf>
    <xf numFmtId="175" fontId="9" fillId="33" borderId="68" xfId="55" applyNumberFormat="1" applyFont="1" applyFill="1" applyBorder="1" applyAlignment="1" applyProtection="1">
      <alignment horizontal="right" wrapText="1"/>
      <protection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4191000</xdr:colOff>
      <xdr:row>0</xdr:row>
      <xdr:rowOff>66675</xdr:rowOff>
    </xdr:from>
    <xdr:to>
      <xdr:col>4</xdr:col>
      <xdr:colOff>542925</xdr:colOff>
      <xdr:row>0</xdr:row>
      <xdr:rowOff>742950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66675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0</xdr:row>
      <xdr:rowOff>142875</xdr:rowOff>
    </xdr:from>
    <xdr:to>
      <xdr:col>3</xdr:col>
      <xdr:colOff>685800</xdr:colOff>
      <xdr:row>1</xdr:row>
      <xdr:rowOff>542925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42875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pgab07\UGPGAB\Users\kaiser.fontoura\Desktop\CEF-PRA&#199;A%20ARATIBA\OR&#199;AMENTO%20COMPOSICOES%20CRONOGRAMA\OR&#199;AMENTO%20CEF\PLANILHA_REPROGRAMACAO_QU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OSIÇÕES"/>
    </sheetNames>
    <sheetDataSet>
      <sheetData sheetId="0">
        <row r="2">
          <cell r="A2" t="str">
            <v> UNIDADE DE GERENCIAMENTO DE PROJETOS - UGP</v>
          </cell>
        </row>
        <row r="4">
          <cell r="E4" t="str">
            <v>Data de elaboração: FEVEREIRO/2015</v>
          </cell>
        </row>
        <row r="7">
          <cell r="M7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="80" zoomScaleNormal="80" zoomScalePageLayoutView="0" workbookViewId="0" topLeftCell="A1">
      <pane ySplit="9" topLeftCell="A82" activePane="bottomLeft" state="frozen"/>
      <selection pane="topLeft" activeCell="A1" sqref="A1"/>
      <selection pane="bottomLeft" activeCell="I103" sqref="I103"/>
    </sheetView>
  </sheetViews>
  <sheetFormatPr defaultColWidth="9.140625" defaultRowHeight="15"/>
  <cols>
    <col min="1" max="1" width="2.57421875" style="1" customWidth="1"/>
    <col min="2" max="2" width="23.140625" style="2" customWidth="1"/>
    <col min="3" max="3" width="9.00390625" style="0" customWidth="1"/>
    <col min="4" max="4" width="80.00390625" style="3" customWidth="1"/>
    <col min="5" max="5" width="9.7109375" style="4" customWidth="1"/>
    <col min="6" max="6" width="12.00390625" style="5" customWidth="1"/>
    <col min="7" max="7" width="9.7109375" style="0" customWidth="1"/>
    <col min="8" max="9" width="9.7109375" style="6" customWidth="1"/>
    <col min="10" max="11" width="11.00390625" style="6" customWidth="1"/>
    <col min="12" max="12" width="11.140625" style="6" customWidth="1"/>
    <col min="13" max="13" width="12.7109375" style="0" customWidth="1"/>
    <col min="14" max="14" width="12.57421875" style="0" customWidth="1"/>
    <col min="15" max="15" width="6.00390625" style="0" customWidth="1"/>
    <col min="16" max="16" width="16.8515625" style="0" customWidth="1"/>
    <col min="17" max="18" width="11.57421875" style="0" customWidth="1"/>
    <col min="19" max="19" width="12.7109375" style="0" customWidth="1"/>
  </cols>
  <sheetData>
    <row r="1" spans="1:18" s="9" customFormat="1" ht="60.7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7"/>
      <c r="P1" s="7"/>
      <c r="Q1" s="7"/>
      <c r="R1" s="8"/>
    </row>
    <row r="2" spans="1:14" ht="17.25" customHeight="1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5">
      <c r="A4" s="10">
        <v>1</v>
      </c>
      <c r="B4" s="152" t="s">
        <v>189</v>
      </c>
      <c r="C4" s="309" t="s">
        <v>234</v>
      </c>
      <c r="D4" s="309"/>
      <c r="E4" s="310" t="s">
        <v>186</v>
      </c>
      <c r="F4" s="310"/>
      <c r="G4" s="310"/>
      <c r="H4" s="310"/>
      <c r="I4" s="310"/>
      <c r="J4" s="310"/>
      <c r="K4" s="310" t="s">
        <v>187</v>
      </c>
      <c r="L4" s="310"/>
      <c r="M4" s="310"/>
      <c r="N4" s="310"/>
    </row>
    <row r="5" spans="1:14" ht="15">
      <c r="A5" s="10">
        <v>2</v>
      </c>
      <c r="B5" s="152" t="s">
        <v>219</v>
      </c>
      <c r="C5" s="309" t="s">
        <v>185</v>
      </c>
      <c r="D5" s="309"/>
      <c r="E5" s="310" t="s">
        <v>230</v>
      </c>
      <c r="F5" s="310"/>
      <c r="G5" s="310"/>
      <c r="H5" s="310"/>
      <c r="I5" s="310"/>
      <c r="J5" s="310"/>
      <c r="K5" s="310" t="s">
        <v>2</v>
      </c>
      <c r="L5" s="310"/>
      <c r="M5" s="310"/>
      <c r="N5" s="310"/>
    </row>
    <row r="6" spans="1:14" ht="15">
      <c r="A6" s="10">
        <v>3</v>
      </c>
      <c r="B6" s="152" t="s">
        <v>188</v>
      </c>
      <c r="C6" s="311" t="s">
        <v>190</v>
      </c>
      <c r="D6" s="311"/>
      <c r="E6" s="312" t="s">
        <v>225</v>
      </c>
      <c r="F6" s="313"/>
      <c r="G6" s="313"/>
      <c r="H6" s="313"/>
      <c r="I6" s="313"/>
      <c r="J6" s="314"/>
      <c r="K6" s="310" t="s">
        <v>215</v>
      </c>
      <c r="L6" s="310"/>
      <c r="M6" s="310"/>
      <c r="N6" s="310"/>
    </row>
    <row r="7" spans="1:14" s="14" customFormat="1" ht="15" customHeight="1">
      <c r="A7" s="10">
        <v>4</v>
      </c>
      <c r="B7" s="152" t="s">
        <v>3</v>
      </c>
      <c r="C7" s="311" t="s">
        <v>233</v>
      </c>
      <c r="D7" s="311"/>
      <c r="E7" s="310" t="s">
        <v>270</v>
      </c>
      <c r="F7" s="310"/>
      <c r="G7" s="310"/>
      <c r="H7" s="310"/>
      <c r="I7" s="310"/>
      <c r="J7" s="310"/>
      <c r="K7" s="11" t="s">
        <v>4</v>
      </c>
      <c r="L7" s="12">
        <v>0.25</v>
      </c>
      <c r="M7" s="13"/>
      <c r="N7" s="13"/>
    </row>
    <row r="8" spans="1:14" ht="15" customHeight="1">
      <c r="A8" s="315" t="s">
        <v>5</v>
      </c>
      <c r="B8" s="315"/>
      <c r="C8" s="316" t="s">
        <v>6</v>
      </c>
      <c r="D8" s="317" t="s">
        <v>7</v>
      </c>
      <c r="E8" s="315" t="s">
        <v>8</v>
      </c>
      <c r="F8" s="318" t="s">
        <v>9</v>
      </c>
      <c r="G8" s="319" t="s">
        <v>10</v>
      </c>
      <c r="H8" s="319"/>
      <c r="I8" s="319"/>
      <c r="J8" s="320" t="s">
        <v>11</v>
      </c>
      <c r="K8" s="320"/>
      <c r="L8" s="320"/>
      <c r="M8" s="315" t="s">
        <v>12</v>
      </c>
      <c r="N8" s="321" t="s">
        <v>13</v>
      </c>
    </row>
    <row r="9" spans="1:14" ht="15.75">
      <c r="A9" s="315"/>
      <c r="B9" s="315"/>
      <c r="C9" s="316"/>
      <c r="D9" s="317"/>
      <c r="E9" s="315"/>
      <c r="F9" s="318"/>
      <c r="G9" s="15" t="s">
        <v>14</v>
      </c>
      <c r="H9" s="16" t="s">
        <v>15</v>
      </c>
      <c r="I9" s="16" t="s">
        <v>16</v>
      </c>
      <c r="J9" s="16" t="s">
        <v>14</v>
      </c>
      <c r="K9" s="16" t="s">
        <v>15</v>
      </c>
      <c r="L9" s="16" t="s">
        <v>16</v>
      </c>
      <c r="M9" s="315"/>
      <c r="N9" s="321"/>
    </row>
    <row r="10" spans="1:14" s="17" customFormat="1" ht="15">
      <c r="A10" s="153"/>
      <c r="B10" s="154"/>
      <c r="C10" s="155">
        <v>1</v>
      </c>
      <c r="D10" s="156" t="s">
        <v>17</v>
      </c>
      <c r="E10" s="157"/>
      <c r="F10" s="158"/>
      <c r="G10" s="159"/>
      <c r="H10" s="160"/>
      <c r="I10" s="160"/>
      <c r="J10" s="160"/>
      <c r="K10" s="160"/>
      <c r="L10" s="160"/>
      <c r="M10" s="159"/>
      <c r="N10" s="161"/>
    </row>
    <row r="11" spans="1:14" ht="25.5">
      <c r="A11" s="18">
        <v>1</v>
      </c>
      <c r="B11" s="184" t="s">
        <v>18</v>
      </c>
      <c r="C11" s="19" t="s">
        <v>19</v>
      </c>
      <c r="D11" s="20" t="s">
        <v>283</v>
      </c>
      <c r="E11" s="21" t="s">
        <v>20</v>
      </c>
      <c r="F11" s="22">
        <v>6.4</v>
      </c>
      <c r="G11" s="30">
        <f>ROUND(I11*0.6,2)</f>
        <v>0</v>
      </c>
      <c r="H11" s="31">
        <f>ROUND(I11*0.4,2)</f>
        <v>0</v>
      </c>
      <c r="I11" s="31"/>
      <c r="J11" s="40">
        <f>ROUND(L11*0.6,2)</f>
        <v>0</v>
      </c>
      <c r="K11" s="24">
        <f>ROUND(L11*0.4,2)</f>
        <v>0</v>
      </c>
      <c r="L11" s="23">
        <f>ROUND((I11*$L$7)+I11,2)</f>
        <v>0</v>
      </c>
      <c r="M11" s="23">
        <f>ROUND(L11*F11,2)</f>
        <v>0</v>
      </c>
      <c r="N11" s="25" t="e">
        <f>M11/$L$23</f>
        <v>#DIV/0!</v>
      </c>
    </row>
    <row r="12" spans="1:14" ht="15">
      <c r="A12" s="18"/>
      <c r="B12" s="184"/>
      <c r="C12" s="19" t="s">
        <v>21</v>
      </c>
      <c r="D12" s="303" t="s">
        <v>22</v>
      </c>
      <c r="E12" s="21"/>
      <c r="F12" s="22"/>
      <c r="G12" s="30"/>
      <c r="H12" s="31"/>
      <c r="I12" s="31"/>
      <c r="J12" s="40"/>
      <c r="K12" s="24"/>
      <c r="L12" s="23"/>
      <c r="M12" s="23"/>
      <c r="N12" s="25"/>
    </row>
    <row r="13" spans="1:14" s="17" customFormat="1" ht="25.5">
      <c r="A13" s="26">
        <v>1</v>
      </c>
      <c r="B13" s="184" t="s">
        <v>23</v>
      </c>
      <c r="C13" s="27" t="s">
        <v>24</v>
      </c>
      <c r="D13" s="28" t="s">
        <v>25</v>
      </c>
      <c r="E13" s="29" t="s">
        <v>26</v>
      </c>
      <c r="F13" s="22">
        <v>2</v>
      </c>
      <c r="G13" s="30">
        <f>ROUND(I13*0.6,2)</f>
        <v>0</v>
      </c>
      <c r="H13" s="31">
        <f>ROUND(I13*0.4,2)</f>
        <v>0</v>
      </c>
      <c r="I13" s="31"/>
      <c r="J13" s="40">
        <f>ROUND(L13*0.6,2)</f>
        <v>0</v>
      </c>
      <c r="K13" s="24">
        <f>ROUND(L13*0.4,2)</f>
        <v>0</v>
      </c>
      <c r="L13" s="23">
        <f>ROUND((I13*$L$7)+I13,2)</f>
        <v>0</v>
      </c>
      <c r="M13" s="30">
        <f>ROUND(L13*F13,2)</f>
        <v>0</v>
      </c>
      <c r="N13" s="25" t="e">
        <f>M13/$L$23</f>
        <v>#DIV/0!</v>
      </c>
    </row>
    <row r="14" spans="1:18" ht="15">
      <c r="A14" s="18">
        <v>1</v>
      </c>
      <c r="B14" s="184" t="s">
        <v>27</v>
      </c>
      <c r="C14" s="19" t="s">
        <v>28</v>
      </c>
      <c r="D14" s="20" t="s">
        <v>29</v>
      </c>
      <c r="E14" s="32" t="s">
        <v>26</v>
      </c>
      <c r="F14" s="22">
        <v>2</v>
      </c>
      <c r="G14" s="30">
        <f>ROUND(I14*0.6,2)</f>
        <v>0</v>
      </c>
      <c r="H14" s="31">
        <f>ROUND(I14*0.4,2)</f>
        <v>0</v>
      </c>
      <c r="I14" s="31"/>
      <c r="J14" s="40">
        <f>ROUND(L14*0.6,2)</f>
        <v>0</v>
      </c>
      <c r="K14" s="24">
        <f>ROUND(L14*0.4,2)</f>
        <v>0</v>
      </c>
      <c r="L14" s="23">
        <f>ROUND((I14*$L$7)+I14,2)</f>
        <v>0</v>
      </c>
      <c r="M14" s="23">
        <f>ROUND(L14*F14,2)</f>
        <v>0</v>
      </c>
      <c r="N14" s="25" t="e">
        <f>M14/$L$23</f>
        <v>#DIV/0!</v>
      </c>
      <c r="O14" s="17"/>
      <c r="R14" s="17"/>
    </row>
    <row r="15" spans="1:18" ht="15">
      <c r="A15" s="18">
        <v>1</v>
      </c>
      <c r="B15" s="184">
        <v>78472</v>
      </c>
      <c r="C15" s="19" t="s">
        <v>30</v>
      </c>
      <c r="D15" s="20" t="s">
        <v>31</v>
      </c>
      <c r="E15" s="32" t="s">
        <v>32</v>
      </c>
      <c r="F15" s="22">
        <v>1157</v>
      </c>
      <c r="G15" s="30">
        <f>ROUND(I15*0.6,2)</f>
        <v>0</v>
      </c>
      <c r="H15" s="31">
        <f>ROUND(I15*0.4,2)</f>
        <v>0</v>
      </c>
      <c r="I15" s="31"/>
      <c r="J15" s="40">
        <f>ROUND(L15*0.6,2)</f>
        <v>0</v>
      </c>
      <c r="K15" s="24">
        <f>ROUND(L15*0.4,2)</f>
        <v>0</v>
      </c>
      <c r="L15" s="23">
        <f>ROUND((I15*$L$7)+I15,2)</f>
        <v>0</v>
      </c>
      <c r="M15" s="23">
        <f>ROUND(L15*F15,2)</f>
        <v>0</v>
      </c>
      <c r="N15" s="25" t="e">
        <f>M15/$L$23</f>
        <v>#DIV/0!</v>
      </c>
      <c r="O15" s="17"/>
      <c r="R15" s="17"/>
    </row>
    <row r="16" spans="1:16" ht="15">
      <c r="A16" s="33"/>
      <c r="B16" s="185"/>
      <c r="C16" s="34" t="s">
        <v>33</v>
      </c>
      <c r="D16" s="303" t="s">
        <v>325</v>
      </c>
      <c r="E16" s="35"/>
      <c r="F16" s="36"/>
      <c r="G16" s="36"/>
      <c r="H16" s="36"/>
      <c r="I16" s="36"/>
      <c r="J16" s="40"/>
      <c r="K16" s="24"/>
      <c r="L16" s="23"/>
      <c r="M16" s="23"/>
      <c r="N16" s="25"/>
      <c r="O16" s="17"/>
      <c r="P16" s="37"/>
    </row>
    <row r="17" spans="1:16" ht="15">
      <c r="A17" s="245"/>
      <c r="B17" s="246"/>
      <c r="C17" s="247" t="s">
        <v>34</v>
      </c>
      <c r="D17" s="248" t="s">
        <v>35</v>
      </c>
      <c r="E17" s="249"/>
      <c r="F17" s="250"/>
      <c r="G17" s="250"/>
      <c r="H17" s="250"/>
      <c r="I17" s="250"/>
      <c r="J17" s="209"/>
      <c r="K17" s="209"/>
      <c r="L17" s="207"/>
      <c r="M17" s="207"/>
      <c r="N17" s="251"/>
      <c r="O17" s="17"/>
      <c r="P17" s="37"/>
    </row>
    <row r="18" spans="1:16" s="17" customFormat="1" ht="15">
      <c r="A18" s="203">
        <v>2</v>
      </c>
      <c r="B18" s="252" t="s">
        <v>36</v>
      </c>
      <c r="C18" s="204" t="s">
        <v>37</v>
      </c>
      <c r="D18" s="205" t="s">
        <v>38</v>
      </c>
      <c r="E18" s="206" t="s">
        <v>20</v>
      </c>
      <c r="F18" s="253">
        <f>(2*1)*2</f>
        <v>4</v>
      </c>
      <c r="G18" s="207">
        <f>ROUND(I18*0.6,2)</f>
        <v>0</v>
      </c>
      <c r="H18" s="208">
        <f>ROUND(I18*0.4,2)</f>
        <v>0</v>
      </c>
      <c r="I18" s="209"/>
      <c r="J18" s="209">
        <f aca="true" t="shared" si="0" ref="J18:J23">ROUND(L18*0.6,2)</f>
        <v>0</v>
      </c>
      <c r="K18" s="209">
        <f aca="true" t="shared" si="1" ref="K18:K23">ROUND(L18*0.4,2)</f>
        <v>0</v>
      </c>
      <c r="L18" s="207">
        <f>ROUND((I18*$L$7)+I18,2)</f>
        <v>0</v>
      </c>
      <c r="M18" s="207">
        <f>ROUND(L18*F18,2)</f>
        <v>0</v>
      </c>
      <c r="N18" s="251" t="e">
        <f>M18/$L$23</f>
        <v>#DIV/0!</v>
      </c>
      <c r="P18" s="37"/>
    </row>
    <row r="19" spans="1:16" s="17" customFormat="1" ht="15">
      <c r="A19" s="203">
        <v>2</v>
      </c>
      <c r="B19" s="252" t="s">
        <v>36</v>
      </c>
      <c r="C19" s="204" t="s">
        <v>39</v>
      </c>
      <c r="D19" s="205" t="s">
        <v>40</v>
      </c>
      <c r="E19" s="254" t="s">
        <v>20</v>
      </c>
      <c r="F19" s="253">
        <f>(0.6*1)*2</f>
        <v>1.2</v>
      </c>
      <c r="G19" s="207">
        <f>ROUND(I19*0.6,2)</f>
        <v>0</v>
      </c>
      <c r="H19" s="208">
        <f>ROUND(I19*0.4,2)</f>
        <v>0</v>
      </c>
      <c r="I19" s="208"/>
      <c r="J19" s="209">
        <f t="shared" si="0"/>
        <v>0</v>
      </c>
      <c r="K19" s="209">
        <f t="shared" si="1"/>
        <v>0</v>
      </c>
      <c r="L19" s="207">
        <f>ROUND((I19*$L$7)+I19,2)</f>
        <v>0</v>
      </c>
      <c r="M19" s="207">
        <f>ROUND(L19*F19,2)</f>
        <v>0</v>
      </c>
      <c r="N19" s="251" t="e">
        <f>M19/$L$23</f>
        <v>#DIV/0!</v>
      </c>
      <c r="P19" s="37"/>
    </row>
    <row r="20" spans="1:16" s="17" customFormat="1" ht="15">
      <c r="A20" s="255">
        <v>2</v>
      </c>
      <c r="B20" s="252" t="s">
        <v>36</v>
      </c>
      <c r="C20" s="204" t="s">
        <v>41</v>
      </c>
      <c r="D20" s="205" t="s">
        <v>42</v>
      </c>
      <c r="E20" s="254" t="s">
        <v>20</v>
      </c>
      <c r="F20" s="253">
        <f>(0.5*0.85)*2</f>
        <v>0.85</v>
      </c>
      <c r="G20" s="207">
        <f>ROUND(I20*0.6,2)</f>
        <v>0</v>
      </c>
      <c r="H20" s="208">
        <f>ROUND(I20*0.4,2)</f>
        <v>0</v>
      </c>
      <c r="I20" s="208"/>
      <c r="J20" s="209">
        <f t="shared" si="0"/>
        <v>0</v>
      </c>
      <c r="K20" s="209">
        <f t="shared" si="1"/>
        <v>0</v>
      </c>
      <c r="L20" s="207">
        <f>ROUND((I20*$L$7)+I20,2)</f>
        <v>0</v>
      </c>
      <c r="M20" s="207">
        <f>ROUND(L20*F20,2)</f>
        <v>0</v>
      </c>
      <c r="N20" s="251" t="e">
        <f>M20/$L$23</f>
        <v>#DIV/0!</v>
      </c>
      <c r="P20" s="37"/>
    </row>
    <row r="21" spans="1:16" s="17" customFormat="1" ht="15">
      <c r="A21" s="203">
        <v>1</v>
      </c>
      <c r="B21" s="256" t="s">
        <v>43</v>
      </c>
      <c r="C21" s="204" t="s">
        <v>245</v>
      </c>
      <c r="D21" s="205" t="s">
        <v>44</v>
      </c>
      <c r="E21" s="257" t="s">
        <v>20</v>
      </c>
      <c r="F21" s="258">
        <f>(6*1)*2</f>
        <v>12</v>
      </c>
      <c r="G21" s="207">
        <f>ROUND(I21*0.6,2)</f>
        <v>0</v>
      </c>
      <c r="H21" s="208">
        <f>ROUND(I21*0.4,2)</f>
        <v>0</v>
      </c>
      <c r="I21" s="209"/>
      <c r="J21" s="209">
        <f t="shared" si="0"/>
        <v>0</v>
      </c>
      <c r="K21" s="209">
        <f t="shared" si="1"/>
        <v>0</v>
      </c>
      <c r="L21" s="207">
        <f>ROUND((I21*$L$7)+I21,2)</f>
        <v>0</v>
      </c>
      <c r="M21" s="207">
        <f>ROUND(L21*F21,2)</f>
        <v>0</v>
      </c>
      <c r="N21" s="251" t="e">
        <f>M21/$L$23</f>
        <v>#DIV/0!</v>
      </c>
      <c r="P21" s="37"/>
    </row>
    <row r="22" spans="1:16" s="17" customFormat="1" ht="15.75" thickBot="1">
      <c r="A22" s="210">
        <v>2</v>
      </c>
      <c r="B22" s="259" t="s">
        <v>45</v>
      </c>
      <c r="C22" s="211" t="s">
        <v>246</v>
      </c>
      <c r="D22" s="212" t="s">
        <v>46</v>
      </c>
      <c r="E22" s="260" t="s">
        <v>8</v>
      </c>
      <c r="F22" s="261">
        <v>6</v>
      </c>
      <c r="G22" s="213">
        <f>ROUND(I22*0.6,2)</f>
        <v>0</v>
      </c>
      <c r="H22" s="214">
        <f>ROUND(I22*0.4,2)</f>
        <v>0</v>
      </c>
      <c r="I22" s="215"/>
      <c r="J22" s="209">
        <f t="shared" si="0"/>
        <v>0</v>
      </c>
      <c r="K22" s="209">
        <f t="shared" si="1"/>
        <v>0</v>
      </c>
      <c r="L22" s="207">
        <f>ROUND((I22*$L$7)+I22,2)</f>
        <v>0</v>
      </c>
      <c r="M22" s="207">
        <f>ROUND(L22*F22,2)</f>
        <v>0</v>
      </c>
      <c r="N22" s="262" t="e">
        <f>M22/$L$23</f>
        <v>#DIV/0!</v>
      </c>
      <c r="P22" s="37"/>
    </row>
    <row r="23" spans="1:16" ht="15.75" customHeight="1" thickBot="1">
      <c r="A23" s="48"/>
      <c r="B23" s="49"/>
      <c r="C23" s="49"/>
      <c r="D23" s="322" t="s">
        <v>47</v>
      </c>
      <c r="E23" s="322"/>
      <c r="F23" s="322"/>
      <c r="G23" s="322"/>
      <c r="H23" s="322"/>
      <c r="I23" s="322"/>
      <c r="J23" s="322">
        <f t="shared" si="0"/>
        <v>0</v>
      </c>
      <c r="K23" s="322">
        <f t="shared" si="1"/>
        <v>0</v>
      </c>
      <c r="L23" s="323">
        <f>SUM(M11:M22)</f>
        <v>0</v>
      </c>
      <c r="M23" s="323"/>
      <c r="N23" s="50" t="e">
        <f>L23/L99</f>
        <v>#DIV/0!</v>
      </c>
      <c r="O23" s="51"/>
      <c r="P23" s="52" t="e">
        <f>SUM(N11:N22)</f>
        <v>#DIV/0!</v>
      </c>
    </row>
    <row r="24" spans="1:14" s="17" customFormat="1" ht="15">
      <c r="A24" s="162"/>
      <c r="B24" s="163"/>
      <c r="C24" s="164">
        <v>2</v>
      </c>
      <c r="D24" s="165" t="s">
        <v>48</v>
      </c>
      <c r="E24" s="166"/>
      <c r="F24" s="167"/>
      <c r="G24" s="168"/>
      <c r="H24" s="169"/>
      <c r="I24" s="169"/>
      <c r="J24" s="170"/>
      <c r="K24" s="170"/>
      <c r="L24" s="169"/>
      <c r="M24" s="168"/>
      <c r="N24" s="171"/>
    </row>
    <row r="25" spans="1:14" s="17" customFormat="1" ht="25.5">
      <c r="A25" s="38">
        <v>1</v>
      </c>
      <c r="B25" s="189" t="s">
        <v>49</v>
      </c>
      <c r="C25" s="27" t="s">
        <v>50</v>
      </c>
      <c r="D25" s="28" t="s">
        <v>51</v>
      </c>
      <c r="E25" s="69" t="s">
        <v>52</v>
      </c>
      <c r="F25" s="196">
        <f>(1157*0.7)</f>
        <v>809.9</v>
      </c>
      <c r="G25" s="30">
        <f>ROUND(I25*0.6,2)</f>
        <v>0</v>
      </c>
      <c r="H25" s="31">
        <f>ROUND(I25*0.4,2)</f>
        <v>0</v>
      </c>
      <c r="I25" s="31"/>
      <c r="J25" s="66">
        <f>ROUND(L25*0.6,2)</f>
        <v>0</v>
      </c>
      <c r="K25" s="61">
        <f>ROUND(L25*0.4,2)</f>
        <v>0</v>
      </c>
      <c r="L25" s="62">
        <f>ROUND((I25*$L$7)+I25,2)</f>
        <v>0</v>
      </c>
      <c r="M25" s="63">
        <f>ROUND(L25*F25,2)</f>
        <v>0</v>
      </c>
      <c r="N25" s="64" t="e">
        <f>M25/$L$40</f>
        <v>#DIV/0!</v>
      </c>
    </row>
    <row r="26" spans="1:14" s="17" customFormat="1" ht="15">
      <c r="A26" s="38"/>
      <c r="B26" s="184"/>
      <c r="C26" s="27" t="s">
        <v>53</v>
      </c>
      <c r="D26" s="303" t="s">
        <v>54</v>
      </c>
      <c r="E26" s="39"/>
      <c r="F26" s="22"/>
      <c r="G26" s="30"/>
      <c r="H26" s="31"/>
      <c r="I26" s="31"/>
      <c r="J26" s="66"/>
      <c r="K26" s="61"/>
      <c r="L26" s="62"/>
      <c r="M26" s="63"/>
      <c r="N26" s="64"/>
    </row>
    <row r="27" spans="1:16" s="17" customFormat="1" ht="25.5">
      <c r="A27" s="38">
        <v>1</v>
      </c>
      <c r="B27" s="191">
        <v>72887</v>
      </c>
      <c r="C27" s="68" t="s">
        <v>55</v>
      </c>
      <c r="D27" s="28" t="s">
        <v>216</v>
      </c>
      <c r="E27" s="69" t="s">
        <v>56</v>
      </c>
      <c r="F27" s="22">
        <f>(F25*1.25*8.1)</f>
        <v>8200.2375</v>
      </c>
      <c r="G27" s="30">
        <f>ROUND(I27*0.6,2)</f>
        <v>0</v>
      </c>
      <c r="H27" s="31">
        <f>ROUND(I27*0.4,2)</f>
        <v>0</v>
      </c>
      <c r="I27" s="220"/>
      <c r="J27" s="66">
        <f>ROUND(L27*0.6,2)</f>
        <v>0</v>
      </c>
      <c r="K27" s="61">
        <f>ROUND(L27*0.4,2)</f>
        <v>0</v>
      </c>
      <c r="L27" s="62">
        <f>ROUND((I27*$L$7)+I27,2)</f>
        <v>0</v>
      </c>
      <c r="M27" s="62">
        <f>ROUND(L27*F27,2)</f>
        <v>0</v>
      </c>
      <c r="N27" s="64" t="e">
        <f>M27/$L$40</f>
        <v>#DIV/0!</v>
      </c>
      <c r="P27" s="291"/>
    </row>
    <row r="28" spans="1:14" s="17" customFormat="1" ht="15">
      <c r="A28" s="42"/>
      <c r="B28" s="184"/>
      <c r="C28" s="27" t="s">
        <v>57</v>
      </c>
      <c r="D28" s="304" t="s">
        <v>58</v>
      </c>
      <c r="E28" s="39"/>
      <c r="F28" s="22"/>
      <c r="G28" s="30"/>
      <c r="H28" s="31"/>
      <c r="I28" s="65"/>
      <c r="J28" s="66"/>
      <c r="K28" s="61"/>
      <c r="L28" s="62"/>
      <c r="M28" s="63"/>
      <c r="N28" s="64"/>
    </row>
    <row r="29" spans="1:14" s="17" customFormat="1" ht="15">
      <c r="A29" s="42">
        <v>4</v>
      </c>
      <c r="B29" s="188" t="str">
        <f>COMPOSIÇÕES!A20</f>
        <v>COMP. 003</v>
      </c>
      <c r="C29" s="27" t="s">
        <v>59</v>
      </c>
      <c r="D29" s="44" t="s">
        <v>58</v>
      </c>
      <c r="E29" s="39" t="s">
        <v>52</v>
      </c>
      <c r="F29" s="22">
        <f>(1157*0.4)</f>
        <v>462.8</v>
      </c>
      <c r="G29" s="30">
        <f>ROUND(I29*0.6,2)</f>
        <v>0</v>
      </c>
      <c r="H29" s="31">
        <f>ROUND(I29*0.4,2)</f>
        <v>0</v>
      </c>
      <c r="I29" s="31"/>
      <c r="J29" s="66">
        <f>ROUND(L29*0.6,2)</f>
        <v>0</v>
      </c>
      <c r="K29" s="66">
        <f>ROUND(L29*0.4,2)</f>
        <v>0</v>
      </c>
      <c r="L29" s="62">
        <f>ROUND((I29*$L$7)+I29,2)</f>
        <v>0</v>
      </c>
      <c r="M29" s="62">
        <f>ROUND(L29*F29,2)</f>
        <v>0</v>
      </c>
      <c r="N29" s="64" t="e">
        <f>M29/$L$40</f>
        <v>#DIV/0!</v>
      </c>
    </row>
    <row r="30" spans="1:14" s="71" customFormat="1" ht="28.5" customHeight="1">
      <c r="A30" s="67">
        <v>1</v>
      </c>
      <c r="B30" s="189">
        <v>72881</v>
      </c>
      <c r="C30" s="68" t="s">
        <v>60</v>
      </c>
      <c r="D30" s="28" t="s">
        <v>222</v>
      </c>
      <c r="E30" s="69" t="s">
        <v>56</v>
      </c>
      <c r="F30" s="196">
        <f>(F29*1.25*21.6)</f>
        <v>12495.6</v>
      </c>
      <c r="G30" s="62">
        <f>ROUND(I30*0.6,2)</f>
        <v>0</v>
      </c>
      <c r="H30" s="70">
        <f>ROUND(I30*0.4,2)</f>
        <v>0</v>
      </c>
      <c r="I30" s="70"/>
      <c r="J30" s="66">
        <f>ROUND(L30*0.6,2)</f>
        <v>0</v>
      </c>
      <c r="K30" s="61">
        <f>ROUND(L30*0.4,2)</f>
        <v>0</v>
      </c>
      <c r="L30" s="62">
        <f>ROUND((I30*$L$7)+I30,2)</f>
        <v>0</v>
      </c>
      <c r="M30" s="63">
        <f>ROUND(L30*F30,2)</f>
        <v>0</v>
      </c>
      <c r="N30" s="64" t="e">
        <f>M30/$L$40</f>
        <v>#DIV/0!</v>
      </c>
    </row>
    <row r="31" spans="1:14" s="17" customFormat="1" ht="25.5">
      <c r="A31" s="38">
        <v>1</v>
      </c>
      <c r="B31" s="191">
        <v>41721</v>
      </c>
      <c r="C31" s="27" t="s">
        <v>61</v>
      </c>
      <c r="D31" s="28" t="s">
        <v>217</v>
      </c>
      <c r="E31" s="39" t="s">
        <v>52</v>
      </c>
      <c r="F31" s="22">
        <f>(F25*0.4)</f>
        <v>323.96000000000004</v>
      </c>
      <c r="G31" s="30">
        <f>ROUND(I31*0.6,2)</f>
        <v>0</v>
      </c>
      <c r="H31" s="31">
        <f>ROUND(I31*0.4,2)</f>
        <v>0</v>
      </c>
      <c r="I31" s="31"/>
      <c r="J31" s="66">
        <f>ROUND(L31*0.6,2)</f>
        <v>0</v>
      </c>
      <c r="K31" s="61">
        <f>ROUND(L31*0.4,2)</f>
        <v>0</v>
      </c>
      <c r="L31" s="62">
        <f>ROUND((I31*$L$7)+I31,2)</f>
        <v>0</v>
      </c>
      <c r="M31" s="63">
        <f>ROUND(L31*F31,2)</f>
        <v>0</v>
      </c>
      <c r="N31" s="64" t="e">
        <f>M31/$L$40</f>
        <v>#DIV/0!</v>
      </c>
    </row>
    <row r="32" spans="1:14" s="17" customFormat="1" ht="15">
      <c r="A32" s="38"/>
      <c r="B32" s="187"/>
      <c r="C32" s="27" t="s">
        <v>62</v>
      </c>
      <c r="D32" s="303" t="s">
        <v>63</v>
      </c>
      <c r="E32" s="39"/>
      <c r="F32" s="22"/>
      <c r="G32" s="30"/>
      <c r="H32" s="31"/>
      <c r="I32" s="31"/>
      <c r="J32" s="66"/>
      <c r="K32" s="61"/>
      <c r="L32" s="62"/>
      <c r="M32" s="63"/>
      <c r="N32" s="64"/>
    </row>
    <row r="33" spans="1:14" s="17" customFormat="1" ht="29.25" customHeight="1">
      <c r="A33" s="38">
        <v>1</v>
      </c>
      <c r="B33" s="189">
        <v>73710</v>
      </c>
      <c r="C33" s="68" t="s">
        <v>64</v>
      </c>
      <c r="D33" s="28" t="s">
        <v>213</v>
      </c>
      <c r="E33" s="69" t="s">
        <v>52</v>
      </c>
      <c r="F33" s="196">
        <f>(1157*0.25)</f>
        <v>289.25</v>
      </c>
      <c r="G33" s="30">
        <f aca="true" t="shared" si="2" ref="G33:G39">ROUND(I33*0.6,2)</f>
        <v>0</v>
      </c>
      <c r="H33" s="31">
        <f aca="true" t="shared" si="3" ref="H33:H39">ROUND(I33*0.4,2)</f>
        <v>0</v>
      </c>
      <c r="I33" s="40"/>
      <c r="J33" s="66">
        <f aca="true" t="shared" si="4" ref="J33:J40">ROUND(L33*0.6,2)</f>
        <v>0</v>
      </c>
      <c r="K33" s="61">
        <f aca="true" t="shared" si="5" ref="K33:K40">ROUND(L33*0.4,2)</f>
        <v>0</v>
      </c>
      <c r="L33" s="62">
        <f aca="true" t="shared" si="6" ref="L33:L39">ROUND((I33*$L$7)+I33,2)</f>
        <v>0</v>
      </c>
      <c r="M33" s="63">
        <f aca="true" t="shared" si="7" ref="M33:M39">ROUND(L33*F33,2)</f>
        <v>0</v>
      </c>
      <c r="N33" s="64" t="e">
        <f aca="true" t="shared" si="8" ref="N33:N39">M33/$L$40</f>
        <v>#DIV/0!</v>
      </c>
    </row>
    <row r="34" spans="1:14" s="17" customFormat="1" ht="15">
      <c r="A34" s="38">
        <v>1</v>
      </c>
      <c r="B34" s="184">
        <v>83356</v>
      </c>
      <c r="C34" s="27" t="s">
        <v>65</v>
      </c>
      <c r="D34" s="28" t="s">
        <v>214</v>
      </c>
      <c r="E34" s="39" t="s">
        <v>56</v>
      </c>
      <c r="F34" s="22">
        <f>(F33*21.6)</f>
        <v>6247.8</v>
      </c>
      <c r="G34" s="30">
        <f t="shared" si="2"/>
        <v>0</v>
      </c>
      <c r="H34" s="31">
        <f t="shared" si="3"/>
        <v>0</v>
      </c>
      <c r="I34" s="40"/>
      <c r="J34" s="66">
        <f t="shared" si="4"/>
        <v>0</v>
      </c>
      <c r="K34" s="61">
        <f t="shared" si="5"/>
        <v>0</v>
      </c>
      <c r="L34" s="62">
        <f t="shared" si="6"/>
        <v>0</v>
      </c>
      <c r="M34" s="63">
        <f t="shared" si="7"/>
        <v>0</v>
      </c>
      <c r="N34" s="64" t="e">
        <f t="shared" si="8"/>
        <v>#DIV/0!</v>
      </c>
    </row>
    <row r="35" spans="1:14" s="71" customFormat="1" ht="15">
      <c r="A35" s="67">
        <v>1</v>
      </c>
      <c r="B35" s="189" t="s">
        <v>212</v>
      </c>
      <c r="C35" s="68" t="s">
        <v>66</v>
      </c>
      <c r="D35" s="28" t="s">
        <v>211</v>
      </c>
      <c r="E35" s="69" t="s">
        <v>67</v>
      </c>
      <c r="F35" s="196">
        <f>(430-23)</f>
        <v>407</v>
      </c>
      <c r="G35" s="62">
        <f t="shared" si="2"/>
        <v>0</v>
      </c>
      <c r="H35" s="70">
        <f t="shared" si="3"/>
        <v>0</v>
      </c>
      <c r="I35" s="72"/>
      <c r="J35" s="66">
        <f t="shared" si="4"/>
        <v>0</v>
      </c>
      <c r="K35" s="61">
        <f t="shared" si="5"/>
        <v>0</v>
      </c>
      <c r="L35" s="62">
        <f t="shared" si="6"/>
        <v>0</v>
      </c>
      <c r="M35" s="63">
        <f t="shared" si="7"/>
        <v>0</v>
      </c>
      <c r="N35" s="64" t="e">
        <f t="shared" si="8"/>
        <v>#DIV/0!</v>
      </c>
    </row>
    <row r="36" spans="1:14" s="17" customFormat="1" ht="15">
      <c r="A36" s="38">
        <v>1</v>
      </c>
      <c r="B36" s="187">
        <v>72945</v>
      </c>
      <c r="C36" s="27" t="s">
        <v>68</v>
      </c>
      <c r="D36" s="28" t="s">
        <v>69</v>
      </c>
      <c r="E36" s="39" t="s">
        <v>20</v>
      </c>
      <c r="F36" s="22">
        <v>1157</v>
      </c>
      <c r="G36" s="30">
        <f t="shared" si="2"/>
        <v>0</v>
      </c>
      <c r="H36" s="31">
        <f t="shared" si="3"/>
        <v>0</v>
      </c>
      <c r="I36" s="40"/>
      <c r="J36" s="66">
        <f t="shared" si="4"/>
        <v>0</v>
      </c>
      <c r="K36" s="66">
        <f t="shared" si="5"/>
        <v>0</v>
      </c>
      <c r="L36" s="62">
        <f t="shared" si="6"/>
        <v>0</v>
      </c>
      <c r="M36" s="62">
        <f t="shared" si="7"/>
        <v>0</v>
      </c>
      <c r="N36" s="64" t="e">
        <f t="shared" si="8"/>
        <v>#DIV/0!</v>
      </c>
    </row>
    <row r="37" spans="1:14" s="71" customFormat="1" ht="15">
      <c r="A37" s="67">
        <v>1</v>
      </c>
      <c r="B37" s="189">
        <v>72943</v>
      </c>
      <c r="C37" s="27" t="s">
        <v>70</v>
      </c>
      <c r="D37" s="28" t="s">
        <v>71</v>
      </c>
      <c r="E37" s="69" t="s">
        <v>20</v>
      </c>
      <c r="F37" s="196">
        <v>1157</v>
      </c>
      <c r="G37" s="62">
        <f t="shared" si="2"/>
        <v>0</v>
      </c>
      <c r="H37" s="70">
        <f t="shared" si="3"/>
        <v>0</v>
      </c>
      <c r="I37" s="72"/>
      <c r="J37" s="66">
        <f t="shared" si="4"/>
        <v>0</v>
      </c>
      <c r="K37" s="66">
        <f t="shared" si="5"/>
        <v>0</v>
      </c>
      <c r="L37" s="62">
        <f t="shared" si="6"/>
        <v>0</v>
      </c>
      <c r="M37" s="62">
        <f t="shared" si="7"/>
        <v>0</v>
      </c>
      <c r="N37" s="64" t="e">
        <f t="shared" si="8"/>
        <v>#DIV/0!</v>
      </c>
    </row>
    <row r="38" spans="1:14" s="17" customFormat="1" ht="15">
      <c r="A38" s="38">
        <v>1</v>
      </c>
      <c r="B38" s="187">
        <v>72965</v>
      </c>
      <c r="C38" s="27" t="s">
        <v>72</v>
      </c>
      <c r="D38" s="28" t="s">
        <v>73</v>
      </c>
      <c r="E38" s="39" t="s">
        <v>74</v>
      </c>
      <c r="F38" s="22">
        <f>(1157*0.05)*2.4</f>
        <v>138.84</v>
      </c>
      <c r="G38" s="30">
        <f t="shared" si="2"/>
        <v>0</v>
      </c>
      <c r="H38" s="31">
        <f t="shared" si="3"/>
        <v>0</v>
      </c>
      <c r="I38" s="40"/>
      <c r="J38" s="66">
        <f t="shared" si="4"/>
        <v>0</v>
      </c>
      <c r="K38" s="66">
        <f t="shared" si="5"/>
        <v>0</v>
      </c>
      <c r="L38" s="62">
        <f t="shared" si="6"/>
        <v>0</v>
      </c>
      <c r="M38" s="62">
        <f t="shared" si="7"/>
        <v>0</v>
      </c>
      <c r="N38" s="64" t="e">
        <f t="shared" si="8"/>
        <v>#DIV/0!</v>
      </c>
    </row>
    <row r="39" spans="1:14" s="17" customFormat="1" ht="15">
      <c r="A39" s="42">
        <v>1</v>
      </c>
      <c r="B39" s="190">
        <v>83357</v>
      </c>
      <c r="C39" s="43" t="s">
        <v>75</v>
      </c>
      <c r="D39" s="44" t="s">
        <v>218</v>
      </c>
      <c r="E39" s="73" t="s">
        <v>76</v>
      </c>
      <c r="F39" s="74">
        <f>(1157*0.05)*24</f>
        <v>1388.4</v>
      </c>
      <c r="G39" s="45">
        <f t="shared" si="2"/>
        <v>0</v>
      </c>
      <c r="H39" s="46">
        <f t="shared" si="3"/>
        <v>0</v>
      </c>
      <c r="I39" s="219"/>
      <c r="J39" s="66">
        <f t="shared" si="4"/>
        <v>0</v>
      </c>
      <c r="K39" s="66">
        <f t="shared" si="5"/>
        <v>0</v>
      </c>
      <c r="L39" s="62">
        <f t="shared" si="6"/>
        <v>0</v>
      </c>
      <c r="M39" s="62">
        <f t="shared" si="7"/>
        <v>0</v>
      </c>
      <c r="N39" s="292" t="e">
        <f t="shared" si="8"/>
        <v>#DIV/0!</v>
      </c>
    </row>
    <row r="40" spans="1:16" s="77" customFormat="1" ht="15.75" customHeight="1" thickBot="1">
      <c r="A40" s="75"/>
      <c r="B40" s="49"/>
      <c r="C40" s="49"/>
      <c r="D40" s="322" t="s">
        <v>47</v>
      </c>
      <c r="E40" s="322"/>
      <c r="F40" s="322"/>
      <c r="G40" s="322"/>
      <c r="H40" s="322"/>
      <c r="I40" s="322"/>
      <c r="J40" s="322">
        <f t="shared" si="4"/>
        <v>0</v>
      </c>
      <c r="K40" s="322">
        <f t="shared" si="5"/>
        <v>0</v>
      </c>
      <c r="L40" s="323">
        <f>SUM(M25:M39)</f>
        <v>0</v>
      </c>
      <c r="M40" s="323"/>
      <c r="N40" s="50" t="e">
        <f>L40/L99</f>
        <v>#DIV/0!</v>
      </c>
      <c r="O40" s="76"/>
      <c r="P40" s="52" t="e">
        <f>SUM(N25:N39)</f>
        <v>#DIV/0!</v>
      </c>
    </row>
    <row r="41" spans="1:14" s="17" customFormat="1" ht="15">
      <c r="A41" s="162"/>
      <c r="B41" s="163"/>
      <c r="C41" s="164">
        <v>3</v>
      </c>
      <c r="D41" s="165" t="s">
        <v>77</v>
      </c>
      <c r="E41" s="200"/>
      <c r="F41" s="167"/>
      <c r="G41" s="168"/>
      <c r="H41" s="169"/>
      <c r="I41" s="169"/>
      <c r="J41" s="172"/>
      <c r="K41" s="172"/>
      <c r="L41" s="169"/>
      <c r="M41" s="168"/>
      <c r="N41" s="171"/>
    </row>
    <row r="42" spans="1:14" s="17" customFormat="1" ht="15">
      <c r="A42" s="38">
        <v>1</v>
      </c>
      <c r="B42" s="184">
        <v>85323</v>
      </c>
      <c r="C42" s="27" t="s">
        <v>78</v>
      </c>
      <c r="D42" s="197" t="s">
        <v>79</v>
      </c>
      <c r="E42" s="201" t="s">
        <v>67</v>
      </c>
      <c r="F42" s="199">
        <v>130.45</v>
      </c>
      <c r="G42" s="30">
        <f>ROUND(I42*0.6,2)</f>
        <v>0</v>
      </c>
      <c r="H42" s="31">
        <f>ROUND(I42*0.4,2)</f>
        <v>0</v>
      </c>
      <c r="I42" s="40"/>
      <c r="J42" s="66">
        <f>ROUND(L42*0.6,2)</f>
        <v>0</v>
      </c>
      <c r="K42" s="61">
        <f>ROUND(L42*0.4,2)</f>
        <v>0</v>
      </c>
      <c r="L42" s="30">
        <f>ROUND((I42*$L$7)+I42,2)</f>
        <v>0</v>
      </c>
      <c r="M42" s="23">
        <f>ROUND(L42*F42,2)</f>
        <v>0</v>
      </c>
      <c r="N42" s="25" t="e">
        <f>M42/$L$61</f>
        <v>#DIV/0!</v>
      </c>
    </row>
    <row r="43" spans="1:14" s="17" customFormat="1" ht="15">
      <c r="A43" s="38">
        <v>1</v>
      </c>
      <c r="B43" s="184">
        <v>73576</v>
      </c>
      <c r="C43" s="27" t="s">
        <v>80</v>
      </c>
      <c r="D43" s="197" t="s">
        <v>81</v>
      </c>
      <c r="E43" s="201" t="s">
        <v>52</v>
      </c>
      <c r="F43" s="199">
        <v>197.49</v>
      </c>
      <c r="G43" s="30">
        <f>ROUND(I43*0.6,2)</f>
        <v>0</v>
      </c>
      <c r="H43" s="31">
        <f>ROUND(I43*0.4,2)</f>
        <v>0</v>
      </c>
      <c r="I43" s="40"/>
      <c r="J43" s="66">
        <f>ROUND(L43*0.6,2)</f>
        <v>0</v>
      </c>
      <c r="K43" s="61">
        <f>ROUND(L43*0.4,2)</f>
        <v>0</v>
      </c>
      <c r="L43" s="30">
        <f>ROUND((I43*$L$7)+I43,2)</f>
        <v>0</v>
      </c>
      <c r="M43" s="23">
        <f>ROUND(L43*F43,2)</f>
        <v>0</v>
      </c>
      <c r="N43" s="25" t="e">
        <f>M43/$L$61</f>
        <v>#DIV/0!</v>
      </c>
    </row>
    <row r="44" spans="1:14" s="17" customFormat="1" ht="15">
      <c r="A44" s="38">
        <v>1</v>
      </c>
      <c r="B44" s="184">
        <v>73572</v>
      </c>
      <c r="C44" s="27" t="s">
        <v>82</v>
      </c>
      <c r="D44" s="197" t="s">
        <v>220</v>
      </c>
      <c r="E44" s="201" t="s">
        <v>52</v>
      </c>
      <c r="F44" s="199">
        <v>92.25</v>
      </c>
      <c r="G44" s="30">
        <f>ROUND(I44*0.6,2)</f>
        <v>0</v>
      </c>
      <c r="H44" s="31">
        <f>ROUND(I44*0.4,2)</f>
        <v>0</v>
      </c>
      <c r="I44" s="40"/>
      <c r="J44" s="66">
        <f>ROUND(L44*0.6,2)</f>
        <v>0</v>
      </c>
      <c r="K44" s="61">
        <f>ROUND(L44*0.4,2)</f>
        <v>0</v>
      </c>
      <c r="L44" s="30">
        <f>ROUND((I44*$L$7)+I44,2)</f>
        <v>0</v>
      </c>
      <c r="M44" s="23">
        <f>ROUND(L44*F44,2)</f>
        <v>0</v>
      </c>
      <c r="N44" s="25" t="e">
        <f>M44/$L$61</f>
        <v>#DIV/0!</v>
      </c>
    </row>
    <row r="45" spans="1:14" s="17" customFormat="1" ht="15">
      <c r="A45" s="38">
        <v>1</v>
      </c>
      <c r="B45" s="184">
        <v>83868</v>
      </c>
      <c r="C45" s="27" t="s">
        <v>88</v>
      </c>
      <c r="D45" s="197" t="s">
        <v>221</v>
      </c>
      <c r="E45" s="201" t="s">
        <v>20</v>
      </c>
      <c r="F45" s="199">
        <v>117.4</v>
      </c>
      <c r="G45" s="30">
        <f>ROUND(I45*0.6,2)</f>
        <v>0</v>
      </c>
      <c r="H45" s="31">
        <f>ROUND(I45*0.4,2)</f>
        <v>0</v>
      </c>
      <c r="I45" s="40"/>
      <c r="J45" s="66">
        <f>ROUND(L45*0.6,2)</f>
        <v>0</v>
      </c>
      <c r="K45" s="61">
        <f>ROUND(L45*0.4,2)</f>
        <v>0</v>
      </c>
      <c r="L45" s="30">
        <f>ROUND((I45*$L$7)+I45,2)</f>
        <v>0</v>
      </c>
      <c r="M45" s="23">
        <f>ROUND(L45*F45,2)</f>
        <v>0</v>
      </c>
      <c r="N45" s="25" t="e">
        <f>M45/$L$61</f>
        <v>#DIV/0!</v>
      </c>
    </row>
    <row r="46" spans="1:14" s="17" customFormat="1" ht="15">
      <c r="A46" s="67"/>
      <c r="B46" s="191"/>
      <c r="C46" s="27" t="s">
        <v>249</v>
      </c>
      <c r="D46" s="305" t="s">
        <v>83</v>
      </c>
      <c r="E46" s="202"/>
      <c r="F46" s="199"/>
      <c r="G46" s="30"/>
      <c r="H46" s="31"/>
      <c r="I46" s="40"/>
      <c r="J46" s="61"/>
      <c r="K46" s="61"/>
      <c r="L46" s="30"/>
      <c r="M46" s="23"/>
      <c r="N46" s="25"/>
    </row>
    <row r="47" spans="1:14" s="17" customFormat="1" ht="15">
      <c r="A47" s="67">
        <v>1</v>
      </c>
      <c r="B47" s="191">
        <v>83683</v>
      </c>
      <c r="C47" s="54" t="s">
        <v>250</v>
      </c>
      <c r="D47" s="198" t="s">
        <v>84</v>
      </c>
      <c r="E47" s="201" t="s">
        <v>52</v>
      </c>
      <c r="F47" s="199">
        <f>((5.88+6.97+6.97)*2)*0.1</f>
        <v>3.9640000000000004</v>
      </c>
      <c r="G47" s="30">
        <f aca="true" t="shared" si="9" ref="G47:G52">ROUND(I47*0.6,2)</f>
        <v>0</v>
      </c>
      <c r="H47" s="31">
        <f aca="true" t="shared" si="10" ref="H47:H52">ROUND(I47*0.4,2)</f>
        <v>0</v>
      </c>
      <c r="I47" s="40"/>
      <c r="J47" s="66">
        <f aca="true" t="shared" si="11" ref="J47:J52">ROUND(L47*0.6,2)</f>
        <v>0</v>
      </c>
      <c r="K47" s="61">
        <f aca="true" t="shared" si="12" ref="K47:K52">ROUND(L47*0.4,2)</f>
        <v>0</v>
      </c>
      <c r="L47" s="30">
        <f aca="true" t="shared" si="13" ref="L47:L52">ROUND((I47*$L$7)+I47,2)</f>
        <v>0</v>
      </c>
      <c r="M47" s="23">
        <f aca="true" t="shared" si="14" ref="M47:M52">ROUND(L47*F47,2)</f>
        <v>0</v>
      </c>
      <c r="N47" s="25" t="e">
        <f aca="true" t="shared" si="15" ref="N47:N52">M47/$L$61</f>
        <v>#DIV/0!</v>
      </c>
    </row>
    <row r="48" spans="1:14" s="17" customFormat="1" ht="15">
      <c r="A48" s="67">
        <v>1</v>
      </c>
      <c r="B48" s="189" t="s">
        <v>85</v>
      </c>
      <c r="C48" s="54" t="s">
        <v>251</v>
      </c>
      <c r="D48" s="198" t="s">
        <v>86</v>
      </c>
      <c r="E48" s="201" t="s">
        <v>52</v>
      </c>
      <c r="F48" s="199">
        <f>((5.88+6.97+6.97)*2)*0.1</f>
        <v>3.9640000000000004</v>
      </c>
      <c r="G48" s="30">
        <f t="shared" si="9"/>
        <v>0</v>
      </c>
      <c r="H48" s="31">
        <f t="shared" si="10"/>
        <v>0</v>
      </c>
      <c r="I48" s="40"/>
      <c r="J48" s="66">
        <f t="shared" si="11"/>
        <v>0</v>
      </c>
      <c r="K48" s="61">
        <f t="shared" si="12"/>
        <v>0</v>
      </c>
      <c r="L48" s="30">
        <f t="shared" si="13"/>
        <v>0</v>
      </c>
      <c r="M48" s="23">
        <f t="shared" si="14"/>
        <v>0</v>
      </c>
      <c r="N48" s="25" t="e">
        <f t="shared" si="15"/>
        <v>#DIV/0!</v>
      </c>
    </row>
    <row r="49" spans="1:14" s="17" customFormat="1" ht="15">
      <c r="A49" s="38">
        <v>1</v>
      </c>
      <c r="B49" s="193" t="s">
        <v>269</v>
      </c>
      <c r="C49" s="27" t="s">
        <v>252</v>
      </c>
      <c r="D49" s="197" t="s">
        <v>224</v>
      </c>
      <c r="E49" s="202" t="s">
        <v>67</v>
      </c>
      <c r="F49" s="199">
        <v>130.45</v>
      </c>
      <c r="G49" s="30">
        <f t="shared" si="9"/>
        <v>0</v>
      </c>
      <c r="H49" s="31">
        <f t="shared" si="10"/>
        <v>0</v>
      </c>
      <c r="I49" s="40"/>
      <c r="J49" s="66">
        <f t="shared" si="11"/>
        <v>0</v>
      </c>
      <c r="K49" s="61">
        <f t="shared" si="12"/>
        <v>0</v>
      </c>
      <c r="L49" s="30">
        <f t="shared" si="13"/>
        <v>0</v>
      </c>
      <c r="M49" s="23">
        <f t="shared" si="14"/>
        <v>0</v>
      </c>
      <c r="N49" s="25" t="e">
        <f t="shared" si="15"/>
        <v>#DIV/0!</v>
      </c>
    </row>
    <row r="50" spans="1:14" s="17" customFormat="1" ht="15">
      <c r="A50" s="67">
        <v>1</v>
      </c>
      <c r="B50" s="189" t="s">
        <v>85</v>
      </c>
      <c r="C50" s="54" t="s">
        <v>253</v>
      </c>
      <c r="D50" s="198" t="s">
        <v>87</v>
      </c>
      <c r="E50" s="201" t="s">
        <v>52</v>
      </c>
      <c r="F50" s="199">
        <v>2.7</v>
      </c>
      <c r="G50" s="30">
        <f t="shared" si="9"/>
        <v>0</v>
      </c>
      <c r="H50" s="31">
        <f t="shared" si="10"/>
        <v>0</v>
      </c>
      <c r="I50" s="40"/>
      <c r="J50" s="66">
        <f t="shared" si="11"/>
        <v>0</v>
      </c>
      <c r="K50" s="61">
        <f t="shared" si="12"/>
        <v>0</v>
      </c>
      <c r="L50" s="30">
        <f t="shared" si="13"/>
        <v>0</v>
      </c>
      <c r="M50" s="23">
        <f t="shared" si="14"/>
        <v>0</v>
      </c>
      <c r="N50" s="25" t="e">
        <f t="shared" si="15"/>
        <v>#DIV/0!</v>
      </c>
    </row>
    <row r="51" spans="1:14" s="17" customFormat="1" ht="15">
      <c r="A51" s="38">
        <v>1</v>
      </c>
      <c r="B51" s="184">
        <v>74015</v>
      </c>
      <c r="C51" s="27" t="s">
        <v>254</v>
      </c>
      <c r="D51" s="197" t="s">
        <v>271</v>
      </c>
      <c r="E51" s="201" t="s">
        <v>52</v>
      </c>
      <c r="F51" s="199">
        <v>230.49</v>
      </c>
      <c r="G51" s="30">
        <f t="shared" si="9"/>
        <v>0</v>
      </c>
      <c r="H51" s="31">
        <f t="shared" si="10"/>
        <v>0</v>
      </c>
      <c r="I51" s="40"/>
      <c r="J51" s="66">
        <f t="shared" si="11"/>
        <v>0</v>
      </c>
      <c r="K51" s="61">
        <f t="shared" si="12"/>
        <v>0</v>
      </c>
      <c r="L51" s="30">
        <f t="shared" si="13"/>
        <v>0</v>
      </c>
      <c r="M51" s="23">
        <f t="shared" si="14"/>
        <v>0</v>
      </c>
      <c r="N51" s="25" t="e">
        <f t="shared" si="15"/>
        <v>#DIV/0!</v>
      </c>
    </row>
    <row r="52" spans="1:14" s="17" customFormat="1" ht="29.25" customHeight="1">
      <c r="A52" s="53"/>
      <c r="B52" s="192">
        <v>72887</v>
      </c>
      <c r="C52" s="68" t="s">
        <v>255</v>
      </c>
      <c r="D52" s="197" t="s">
        <v>272</v>
      </c>
      <c r="E52" s="281" t="s">
        <v>223</v>
      </c>
      <c r="F52" s="302">
        <v>599.91</v>
      </c>
      <c r="G52" s="62">
        <f t="shared" si="9"/>
        <v>0</v>
      </c>
      <c r="H52" s="70">
        <f t="shared" si="10"/>
        <v>0</v>
      </c>
      <c r="I52" s="72"/>
      <c r="J52" s="66">
        <f t="shared" si="11"/>
        <v>0</v>
      </c>
      <c r="K52" s="61">
        <f t="shared" si="12"/>
        <v>0</v>
      </c>
      <c r="L52" s="62">
        <f t="shared" si="13"/>
        <v>0</v>
      </c>
      <c r="M52" s="63">
        <f t="shared" si="14"/>
        <v>0</v>
      </c>
      <c r="N52" s="64" t="e">
        <f t="shared" si="15"/>
        <v>#DIV/0!</v>
      </c>
    </row>
    <row r="53" spans="1:14" s="17" customFormat="1" ht="15">
      <c r="A53" s="78"/>
      <c r="B53" s="194"/>
      <c r="C53" s="27" t="s">
        <v>256</v>
      </c>
      <c r="D53" s="305" t="s">
        <v>89</v>
      </c>
      <c r="E53" s="201"/>
      <c r="F53" s="199"/>
      <c r="G53" s="30"/>
      <c r="H53" s="31"/>
      <c r="I53" s="40"/>
      <c r="J53" s="66"/>
      <c r="K53" s="61"/>
      <c r="L53" s="30"/>
      <c r="M53" s="23"/>
      <c r="N53" s="25"/>
    </row>
    <row r="54" spans="1:14" s="17" customFormat="1" ht="15">
      <c r="A54" s="67">
        <v>1</v>
      </c>
      <c r="B54" s="191">
        <v>83683</v>
      </c>
      <c r="C54" s="54" t="s">
        <v>257</v>
      </c>
      <c r="D54" s="198" t="s">
        <v>84</v>
      </c>
      <c r="E54" s="201" t="s">
        <v>52</v>
      </c>
      <c r="F54" s="199">
        <f>((1.3*1.4)*0.1)*7</f>
        <v>1.274</v>
      </c>
      <c r="G54" s="30">
        <f aca="true" t="shared" si="16" ref="G54:G60">ROUND(I54*0.6,2)</f>
        <v>0</v>
      </c>
      <c r="H54" s="31">
        <f aca="true" t="shared" si="17" ref="H54:H60">ROUND(I54*0.4,2)</f>
        <v>0</v>
      </c>
      <c r="I54" s="40"/>
      <c r="J54" s="66">
        <f>ROUND(L54*0.6,2)</f>
        <v>0</v>
      </c>
      <c r="K54" s="61">
        <f>ROUND(L54*0.4,2)</f>
        <v>0</v>
      </c>
      <c r="L54" s="30">
        <f aca="true" t="shared" si="18" ref="L54:L60">ROUND((I54*$L$7)+I54,2)</f>
        <v>0</v>
      </c>
      <c r="M54" s="23">
        <f aca="true" t="shared" si="19" ref="M54:M60">ROUND(L54*F54,2)</f>
        <v>0</v>
      </c>
      <c r="N54" s="25" t="e">
        <f aca="true" t="shared" si="20" ref="N54:N60">M54/$L$61</f>
        <v>#DIV/0!</v>
      </c>
    </row>
    <row r="55" spans="1:14" s="17" customFormat="1" ht="15">
      <c r="A55" s="67">
        <v>1</v>
      </c>
      <c r="B55" s="189" t="s">
        <v>85</v>
      </c>
      <c r="C55" s="54" t="s">
        <v>258</v>
      </c>
      <c r="D55" s="198" t="s">
        <v>86</v>
      </c>
      <c r="E55" s="201" t="s">
        <v>52</v>
      </c>
      <c r="F55" s="199">
        <f>((1.3*1.4)*0.1)*7</f>
        <v>1.274</v>
      </c>
      <c r="G55" s="30">
        <f t="shared" si="16"/>
        <v>0</v>
      </c>
      <c r="H55" s="31">
        <f t="shared" si="17"/>
        <v>0</v>
      </c>
      <c r="I55" s="40"/>
      <c r="J55" s="66">
        <f>ROUND(L55*0.6,2)</f>
        <v>0</v>
      </c>
      <c r="K55" s="61">
        <f>ROUND(L55*0.4,2)</f>
        <v>0</v>
      </c>
      <c r="L55" s="30">
        <f t="shared" si="18"/>
        <v>0</v>
      </c>
      <c r="M55" s="23">
        <f t="shared" si="19"/>
        <v>0</v>
      </c>
      <c r="N55" s="25" t="e">
        <f t="shared" si="20"/>
        <v>#DIV/0!</v>
      </c>
    </row>
    <row r="56" spans="1:14" s="17" customFormat="1" ht="15">
      <c r="A56" s="78">
        <v>1</v>
      </c>
      <c r="B56" s="194">
        <v>6110</v>
      </c>
      <c r="C56" s="80" t="s">
        <v>259</v>
      </c>
      <c r="D56" s="79" t="s">
        <v>90</v>
      </c>
      <c r="E56" s="81" t="s">
        <v>52</v>
      </c>
      <c r="F56" s="22">
        <f>'Memoria calculo'!E47</f>
        <v>9.479999999999999</v>
      </c>
      <c r="G56" s="30">
        <f t="shared" si="16"/>
        <v>0</v>
      </c>
      <c r="H56" s="31">
        <f t="shared" si="17"/>
        <v>0</v>
      </c>
      <c r="I56" s="40"/>
      <c r="J56" s="66">
        <f aca="true" t="shared" si="21" ref="J56:J61">ROUND(L56*0.6,2)</f>
        <v>0</v>
      </c>
      <c r="K56" s="61">
        <f aca="true" t="shared" si="22" ref="K56:K61">ROUND(L56*0.4,2)</f>
        <v>0</v>
      </c>
      <c r="L56" s="30">
        <f t="shared" si="18"/>
        <v>0</v>
      </c>
      <c r="M56" s="30">
        <f t="shared" si="19"/>
        <v>0</v>
      </c>
      <c r="N56" s="25" t="e">
        <f t="shared" si="20"/>
        <v>#DIV/0!</v>
      </c>
    </row>
    <row r="57" spans="1:14" s="17" customFormat="1" ht="15">
      <c r="A57" s="78">
        <v>1</v>
      </c>
      <c r="B57" s="194">
        <v>88630</v>
      </c>
      <c r="C57" s="80" t="s">
        <v>287</v>
      </c>
      <c r="D57" s="79" t="s">
        <v>91</v>
      </c>
      <c r="E57" s="81" t="s">
        <v>52</v>
      </c>
      <c r="F57" s="22">
        <f>'Memoria calculo'!D74</f>
        <v>0.7599999999999999</v>
      </c>
      <c r="G57" s="30">
        <f t="shared" si="16"/>
        <v>0</v>
      </c>
      <c r="H57" s="31">
        <f t="shared" si="17"/>
        <v>0</v>
      </c>
      <c r="I57" s="40"/>
      <c r="J57" s="66">
        <f t="shared" si="21"/>
        <v>0</v>
      </c>
      <c r="K57" s="61">
        <f t="shared" si="22"/>
        <v>0</v>
      </c>
      <c r="L57" s="30">
        <f t="shared" si="18"/>
        <v>0</v>
      </c>
      <c r="M57" s="23">
        <f t="shared" si="19"/>
        <v>0</v>
      </c>
      <c r="N57" s="25" t="e">
        <f t="shared" si="20"/>
        <v>#DIV/0!</v>
      </c>
    </row>
    <row r="58" spans="1:14" s="17" customFormat="1" ht="15">
      <c r="A58" s="78">
        <v>1</v>
      </c>
      <c r="B58" s="194">
        <v>72967</v>
      </c>
      <c r="C58" s="80" t="s">
        <v>260</v>
      </c>
      <c r="D58" s="79" t="s">
        <v>92</v>
      </c>
      <c r="E58" s="81" t="s">
        <v>67</v>
      </c>
      <c r="F58" s="22">
        <f>(1.4*7)</f>
        <v>9.799999999999999</v>
      </c>
      <c r="G58" s="30">
        <f t="shared" si="16"/>
        <v>0</v>
      </c>
      <c r="H58" s="31">
        <f t="shared" si="17"/>
        <v>0</v>
      </c>
      <c r="I58" s="40"/>
      <c r="J58" s="66">
        <f t="shared" si="21"/>
        <v>0</v>
      </c>
      <c r="K58" s="61">
        <f t="shared" si="22"/>
        <v>0</v>
      </c>
      <c r="L58" s="30">
        <f t="shared" si="18"/>
        <v>0</v>
      </c>
      <c r="M58" s="23">
        <f t="shared" si="19"/>
        <v>0</v>
      </c>
      <c r="N58" s="25" t="e">
        <f t="shared" si="20"/>
        <v>#DIV/0!</v>
      </c>
    </row>
    <row r="59" spans="1:14" s="17" customFormat="1" ht="15">
      <c r="A59" s="78">
        <v>1</v>
      </c>
      <c r="B59" s="192" t="s">
        <v>93</v>
      </c>
      <c r="C59" s="80" t="s">
        <v>261</v>
      </c>
      <c r="D59" s="79" t="s">
        <v>304</v>
      </c>
      <c r="E59" s="81" t="s">
        <v>52</v>
      </c>
      <c r="F59" s="22">
        <f>(1.3*1.4*0.08)*7</f>
        <v>1.0191999999999999</v>
      </c>
      <c r="G59" s="30">
        <f t="shared" si="16"/>
        <v>0</v>
      </c>
      <c r="H59" s="31">
        <f t="shared" si="17"/>
        <v>0</v>
      </c>
      <c r="I59" s="40"/>
      <c r="J59" s="66">
        <f t="shared" si="21"/>
        <v>0</v>
      </c>
      <c r="K59" s="61">
        <f t="shared" si="22"/>
        <v>0</v>
      </c>
      <c r="L59" s="30">
        <f t="shared" si="18"/>
        <v>0</v>
      </c>
      <c r="M59" s="23">
        <f t="shared" si="19"/>
        <v>0</v>
      </c>
      <c r="N59" s="25" t="e">
        <f t="shared" si="20"/>
        <v>#DIV/0!</v>
      </c>
    </row>
    <row r="60" spans="1:14" s="17" customFormat="1" ht="15">
      <c r="A60" s="82">
        <v>1</v>
      </c>
      <c r="B60" s="195" t="s">
        <v>94</v>
      </c>
      <c r="C60" s="83" t="s">
        <v>262</v>
      </c>
      <c r="D60" s="84" t="s">
        <v>95</v>
      </c>
      <c r="E60" s="85" t="s">
        <v>96</v>
      </c>
      <c r="F60" s="74">
        <v>28.35</v>
      </c>
      <c r="G60" s="45">
        <f t="shared" si="16"/>
        <v>0</v>
      </c>
      <c r="H60" s="46">
        <f t="shared" si="17"/>
        <v>0</v>
      </c>
      <c r="I60" s="219"/>
      <c r="J60" s="61">
        <f t="shared" si="21"/>
        <v>0</v>
      </c>
      <c r="K60" s="61">
        <f t="shared" si="22"/>
        <v>0</v>
      </c>
      <c r="L60" s="30">
        <f t="shared" si="18"/>
        <v>0</v>
      </c>
      <c r="M60" s="23">
        <f t="shared" si="19"/>
        <v>0</v>
      </c>
      <c r="N60" s="25" t="e">
        <f t="shared" si="20"/>
        <v>#DIV/0!</v>
      </c>
    </row>
    <row r="61" spans="1:16" ht="15.75" customHeight="1" thickBot="1">
      <c r="A61" s="48"/>
      <c r="B61" s="49"/>
      <c r="C61" s="49"/>
      <c r="D61" s="322"/>
      <c r="E61" s="322"/>
      <c r="F61" s="322"/>
      <c r="G61" s="322"/>
      <c r="H61" s="322"/>
      <c r="I61" s="322"/>
      <c r="J61" s="322"/>
      <c r="K61" s="322"/>
      <c r="L61" s="323">
        <f>SUM(M42:M60)</f>
        <v>0</v>
      </c>
      <c r="M61" s="323"/>
      <c r="N61" s="50" t="e">
        <f>L61/L99</f>
        <v>#DIV/0!</v>
      </c>
      <c r="O61" s="51"/>
      <c r="P61" s="52" t="e">
        <f>SUM(N42:N60)</f>
        <v>#DIV/0!</v>
      </c>
    </row>
    <row r="62" spans="1:16" ht="15">
      <c r="A62" s="173"/>
      <c r="B62" s="174"/>
      <c r="C62" s="175">
        <v>4</v>
      </c>
      <c r="D62" s="176" t="s">
        <v>191</v>
      </c>
      <c r="E62" s="177"/>
      <c r="F62" s="178"/>
      <c r="G62" s="177"/>
      <c r="H62" s="177"/>
      <c r="I62" s="177"/>
      <c r="J62" s="172"/>
      <c r="K62" s="172"/>
      <c r="L62" s="179"/>
      <c r="M62" s="179"/>
      <c r="N62" s="180"/>
      <c r="O62" s="17"/>
      <c r="P62" s="37"/>
    </row>
    <row r="63" spans="1:16" s="17" customFormat="1" ht="15">
      <c r="A63" s="38">
        <v>3</v>
      </c>
      <c r="B63" s="184">
        <v>73710</v>
      </c>
      <c r="C63" s="27" t="s">
        <v>192</v>
      </c>
      <c r="D63" s="28" t="s">
        <v>99</v>
      </c>
      <c r="E63" s="39" t="s">
        <v>52</v>
      </c>
      <c r="F63" s="22">
        <f>(240.14*0.05)</f>
        <v>12.007</v>
      </c>
      <c r="G63" s="30">
        <f aca="true" t="shared" si="23" ref="G63:G68">ROUND(I63*0.6,2)</f>
        <v>0</v>
      </c>
      <c r="H63" s="31">
        <f aca="true" t="shared" si="24" ref="H63:H68">ROUND(I63*0.4,2)</f>
        <v>0</v>
      </c>
      <c r="I63" s="40"/>
      <c r="J63" s="66">
        <f aca="true" t="shared" si="25" ref="J63:J69">ROUND(L63*0.6,2)</f>
        <v>0</v>
      </c>
      <c r="K63" s="61">
        <f aca="true" t="shared" si="26" ref="K63:K69">ROUND(L63*0.4,2)</f>
        <v>0</v>
      </c>
      <c r="L63" s="62">
        <f aca="true" t="shared" si="27" ref="L63:L68">ROUND((I63*$L$7)+I63,2)</f>
        <v>0</v>
      </c>
      <c r="M63" s="23">
        <f aca="true" t="shared" si="28" ref="M63:M68">ROUND(L63*F63,2)</f>
        <v>0</v>
      </c>
      <c r="N63" s="25" t="e">
        <f aca="true" t="shared" si="29" ref="N63:N68">M63/$L$69</f>
        <v>#DIV/0!</v>
      </c>
      <c r="P63" s="37"/>
    </row>
    <row r="64" spans="1:16" s="17" customFormat="1" ht="15">
      <c r="A64" s="33">
        <v>1</v>
      </c>
      <c r="B64" s="184">
        <v>83356</v>
      </c>
      <c r="C64" s="27" t="s">
        <v>193</v>
      </c>
      <c r="D64" s="96" t="s">
        <v>208</v>
      </c>
      <c r="E64" s="39" t="s">
        <v>101</v>
      </c>
      <c r="F64" s="22">
        <f>(12.01*21.6)</f>
        <v>259.416</v>
      </c>
      <c r="G64" s="30">
        <f t="shared" si="23"/>
        <v>0</v>
      </c>
      <c r="H64" s="31">
        <f t="shared" si="24"/>
        <v>0</v>
      </c>
      <c r="I64" s="40"/>
      <c r="J64" s="66">
        <f t="shared" si="25"/>
        <v>0</v>
      </c>
      <c r="K64" s="61">
        <f t="shared" si="26"/>
        <v>0</v>
      </c>
      <c r="L64" s="62">
        <f t="shared" si="27"/>
        <v>0</v>
      </c>
      <c r="M64" s="23">
        <f t="shared" si="28"/>
        <v>0</v>
      </c>
      <c r="N64" s="25" t="e">
        <f t="shared" si="29"/>
        <v>#DIV/0!</v>
      </c>
      <c r="P64" s="37"/>
    </row>
    <row r="65" spans="1:16" s="71" customFormat="1" ht="25.5">
      <c r="A65" s="97">
        <v>1</v>
      </c>
      <c r="B65" s="189">
        <v>72182</v>
      </c>
      <c r="C65" s="68" t="s">
        <v>194</v>
      </c>
      <c r="D65" s="28" t="s">
        <v>103</v>
      </c>
      <c r="E65" s="69" t="s">
        <v>20</v>
      </c>
      <c r="F65" s="196">
        <f>(300.84-60.7)</f>
        <v>240.14</v>
      </c>
      <c r="G65" s="62">
        <f t="shared" si="23"/>
        <v>0</v>
      </c>
      <c r="H65" s="70">
        <f t="shared" si="24"/>
        <v>0</v>
      </c>
      <c r="I65" s="72"/>
      <c r="J65" s="66">
        <f t="shared" si="25"/>
        <v>0</v>
      </c>
      <c r="K65" s="61">
        <f t="shared" si="26"/>
        <v>0</v>
      </c>
      <c r="L65" s="62">
        <f t="shared" si="27"/>
        <v>0</v>
      </c>
      <c r="M65" s="63">
        <f t="shared" si="28"/>
        <v>0</v>
      </c>
      <c r="N65" s="64" t="e">
        <f t="shared" si="29"/>
        <v>#DIV/0!</v>
      </c>
      <c r="P65" s="95"/>
    </row>
    <row r="66" spans="1:16" s="71" customFormat="1" ht="25.5">
      <c r="A66" s="97">
        <v>1</v>
      </c>
      <c r="B66" s="189">
        <v>72183</v>
      </c>
      <c r="C66" s="68" t="s">
        <v>195</v>
      </c>
      <c r="D66" s="28" t="s">
        <v>104</v>
      </c>
      <c r="E66" s="69" t="s">
        <v>20</v>
      </c>
      <c r="F66" s="196">
        <f>(28+20.4)</f>
        <v>48.4</v>
      </c>
      <c r="G66" s="62">
        <f t="shared" si="23"/>
        <v>0</v>
      </c>
      <c r="H66" s="70">
        <f t="shared" si="24"/>
        <v>0</v>
      </c>
      <c r="I66" s="72"/>
      <c r="J66" s="66">
        <f t="shared" si="25"/>
        <v>0</v>
      </c>
      <c r="K66" s="61">
        <f t="shared" si="26"/>
        <v>0</v>
      </c>
      <c r="L66" s="62">
        <f t="shared" si="27"/>
        <v>0</v>
      </c>
      <c r="M66" s="23">
        <f t="shared" si="28"/>
        <v>0</v>
      </c>
      <c r="N66" s="64" t="e">
        <f t="shared" si="29"/>
        <v>#DIV/0!</v>
      </c>
      <c r="P66" s="95"/>
    </row>
    <row r="67" spans="1:16" s="71" customFormat="1" ht="15">
      <c r="A67" s="97">
        <v>4</v>
      </c>
      <c r="B67" s="188" t="s">
        <v>161</v>
      </c>
      <c r="C67" s="68" t="s">
        <v>196</v>
      </c>
      <c r="D67" s="28" t="s">
        <v>301</v>
      </c>
      <c r="E67" s="39" t="s">
        <v>20</v>
      </c>
      <c r="F67" s="22">
        <v>2</v>
      </c>
      <c r="G67" s="30">
        <f t="shared" si="23"/>
        <v>0</v>
      </c>
      <c r="H67" s="31">
        <f t="shared" si="24"/>
        <v>0</v>
      </c>
      <c r="I67" s="31"/>
      <c r="J67" s="66">
        <f>ROUND(L67*0.6,2)</f>
        <v>0</v>
      </c>
      <c r="K67" s="61">
        <f>ROUND(L67*0.4,2)</f>
        <v>0</v>
      </c>
      <c r="L67" s="62">
        <f t="shared" si="27"/>
        <v>0</v>
      </c>
      <c r="M67" s="23">
        <f t="shared" si="28"/>
        <v>0</v>
      </c>
      <c r="N67" s="25" t="e">
        <f t="shared" si="29"/>
        <v>#DIV/0!</v>
      </c>
      <c r="P67" s="95"/>
    </row>
    <row r="68" spans="1:16" s="17" customFormat="1" ht="15.75" thickBot="1">
      <c r="A68" s="33">
        <v>4</v>
      </c>
      <c r="B68" s="188" t="str">
        <f>COMPOSIÇÕES!A7</f>
        <v>COMP. 001</v>
      </c>
      <c r="C68" s="27" t="s">
        <v>300</v>
      </c>
      <c r="D68" s="28" t="s">
        <v>299</v>
      </c>
      <c r="E68" s="39" t="s">
        <v>20</v>
      </c>
      <c r="F68" s="22">
        <v>20.49</v>
      </c>
      <c r="G68" s="30">
        <f t="shared" si="23"/>
        <v>0</v>
      </c>
      <c r="H68" s="31">
        <f t="shared" si="24"/>
        <v>0</v>
      </c>
      <c r="I68" s="31"/>
      <c r="J68" s="66">
        <f t="shared" si="25"/>
        <v>0</v>
      </c>
      <c r="K68" s="61">
        <f t="shared" si="26"/>
        <v>0</v>
      </c>
      <c r="L68" s="62">
        <f t="shared" si="27"/>
        <v>0</v>
      </c>
      <c r="M68" s="23">
        <f t="shared" si="28"/>
        <v>0</v>
      </c>
      <c r="N68" s="25" t="e">
        <f t="shared" si="29"/>
        <v>#DIV/0!</v>
      </c>
      <c r="P68" s="37"/>
    </row>
    <row r="69" spans="1:16" ht="15.75" customHeight="1" thickBot="1">
      <c r="A69" s="48"/>
      <c r="B69" s="49"/>
      <c r="C69" s="49"/>
      <c r="D69" s="322"/>
      <c r="E69" s="322"/>
      <c r="F69" s="322"/>
      <c r="G69" s="322"/>
      <c r="H69" s="322"/>
      <c r="I69" s="322"/>
      <c r="J69" s="322"/>
      <c r="K69" s="322"/>
      <c r="L69" s="323">
        <f>SUM(M63:M68)</f>
        <v>0</v>
      </c>
      <c r="M69" s="323"/>
      <c r="N69" s="50" t="e">
        <f>L69/L99</f>
        <v>#DIV/0!</v>
      </c>
      <c r="O69" s="51"/>
      <c r="P69" s="52" t="e">
        <f>SUM(N63:N68)</f>
        <v>#DIV/0!</v>
      </c>
    </row>
    <row r="70" spans="1:14" ht="15">
      <c r="A70" s="162"/>
      <c r="B70" s="163"/>
      <c r="C70" s="164">
        <v>5</v>
      </c>
      <c r="D70" s="165" t="s">
        <v>106</v>
      </c>
      <c r="E70" s="166"/>
      <c r="F70" s="167"/>
      <c r="G70" s="168"/>
      <c r="H70" s="169"/>
      <c r="I70" s="169"/>
      <c r="J70" s="172"/>
      <c r="K70" s="172"/>
      <c r="L70" s="169"/>
      <c r="M70" s="168"/>
      <c r="N70" s="171"/>
    </row>
    <row r="71" spans="1:14" ht="15">
      <c r="A71" s="38"/>
      <c r="B71" s="27"/>
      <c r="C71" s="27" t="s">
        <v>98</v>
      </c>
      <c r="D71" s="303" t="s">
        <v>108</v>
      </c>
      <c r="E71" s="39"/>
      <c r="F71" s="22"/>
      <c r="G71" s="99"/>
      <c r="H71" s="100"/>
      <c r="I71" s="100"/>
      <c r="J71" s="61"/>
      <c r="K71" s="61"/>
      <c r="L71" s="100"/>
      <c r="M71" s="99"/>
      <c r="N71" s="101"/>
    </row>
    <row r="72" spans="1:14" s="17" customFormat="1" ht="27.75" customHeight="1">
      <c r="A72" s="67">
        <v>2</v>
      </c>
      <c r="B72" s="189" t="s">
        <v>109</v>
      </c>
      <c r="C72" s="68" t="s">
        <v>100</v>
      </c>
      <c r="D72" s="94" t="s">
        <v>210</v>
      </c>
      <c r="E72" s="69" t="s">
        <v>20</v>
      </c>
      <c r="F72" s="196">
        <v>2.89</v>
      </c>
      <c r="G72" s="62">
        <f>ROUND(I72*0.6,2)</f>
        <v>0</v>
      </c>
      <c r="H72" s="70">
        <f>ROUND(I72*0.4,2)</f>
        <v>0</v>
      </c>
      <c r="I72" s="70"/>
      <c r="J72" s="66">
        <f aca="true" t="shared" si="30" ref="J72:J81">ROUND(L72*0.6,2)</f>
        <v>0</v>
      </c>
      <c r="K72" s="61">
        <f aca="true" t="shared" si="31" ref="K72:K81">ROUND(L72*0.4,2)</f>
        <v>0</v>
      </c>
      <c r="L72" s="62">
        <f aca="true" t="shared" si="32" ref="L72:L80">ROUND((I72*$L$7)+I72,2)</f>
        <v>0</v>
      </c>
      <c r="M72" s="30">
        <f>ROUND(L72*F72,2)</f>
        <v>0</v>
      </c>
      <c r="N72" s="64" t="e">
        <f>M72/$L$81</f>
        <v>#DIV/0!</v>
      </c>
    </row>
    <row r="73" spans="1:14" s="17" customFormat="1" ht="25.5">
      <c r="A73" s="67">
        <v>2</v>
      </c>
      <c r="B73" s="189" t="s">
        <v>109</v>
      </c>
      <c r="C73" s="68" t="s">
        <v>302</v>
      </c>
      <c r="D73" s="94" t="s">
        <v>113</v>
      </c>
      <c r="E73" s="69" t="s">
        <v>20</v>
      </c>
      <c r="F73" s="196">
        <f>(40*0.1)</f>
        <v>4</v>
      </c>
      <c r="G73" s="62">
        <f>ROUND(I73*0.6,2)</f>
        <v>0</v>
      </c>
      <c r="H73" s="70">
        <f>ROUND(I73*0.4,2)</f>
        <v>0</v>
      </c>
      <c r="I73" s="70"/>
      <c r="J73" s="66">
        <f t="shared" si="30"/>
        <v>0</v>
      </c>
      <c r="K73" s="61">
        <f t="shared" si="31"/>
        <v>0</v>
      </c>
      <c r="L73" s="62">
        <f t="shared" si="32"/>
        <v>0</v>
      </c>
      <c r="M73" s="30">
        <f>ROUND(L73*F73,2)</f>
        <v>0</v>
      </c>
      <c r="N73" s="64" t="e">
        <f>M73/$L$81</f>
        <v>#DIV/0!</v>
      </c>
    </row>
    <row r="74" spans="1:14" s="17" customFormat="1" ht="25.5">
      <c r="A74" s="67">
        <v>2</v>
      </c>
      <c r="B74" s="189" t="s">
        <v>114</v>
      </c>
      <c r="C74" s="68" t="s">
        <v>197</v>
      </c>
      <c r="D74" s="94" t="s">
        <v>209</v>
      </c>
      <c r="E74" s="69" t="s">
        <v>20</v>
      </c>
      <c r="F74" s="196">
        <f>((3*0.3)*6)*2</f>
        <v>10.799999999999999</v>
      </c>
      <c r="G74" s="62">
        <f>ROUND(I74*0.6,2)</f>
        <v>0</v>
      </c>
      <c r="H74" s="70">
        <f>ROUND(I74*0.4,2)</f>
        <v>0</v>
      </c>
      <c r="I74" s="70"/>
      <c r="J74" s="66">
        <f t="shared" si="30"/>
        <v>0</v>
      </c>
      <c r="K74" s="61">
        <f t="shared" si="31"/>
        <v>0</v>
      </c>
      <c r="L74" s="62">
        <f t="shared" si="32"/>
        <v>0</v>
      </c>
      <c r="M74" s="30">
        <f>ROUND(L74*F74,2)</f>
        <v>0</v>
      </c>
      <c r="N74" s="64" t="e">
        <f>M74/$L$81</f>
        <v>#DIV/0!</v>
      </c>
    </row>
    <row r="75" spans="1:14" s="17" customFormat="1" ht="25.5">
      <c r="A75" s="38">
        <v>2</v>
      </c>
      <c r="B75" s="189" t="s">
        <v>115</v>
      </c>
      <c r="C75" s="68" t="s">
        <v>198</v>
      </c>
      <c r="D75" s="94" t="s">
        <v>116</v>
      </c>
      <c r="E75" s="39" t="s">
        <v>8</v>
      </c>
      <c r="F75" s="22">
        <v>40</v>
      </c>
      <c r="G75" s="102">
        <f>ROUND(I75*0.6,2)</f>
        <v>0</v>
      </c>
      <c r="H75" s="72">
        <f>ROUND(I75*0.4,2)</f>
        <v>0</v>
      </c>
      <c r="I75" s="72"/>
      <c r="J75" s="66">
        <f t="shared" si="30"/>
        <v>0</v>
      </c>
      <c r="K75" s="61">
        <f t="shared" si="31"/>
        <v>0</v>
      </c>
      <c r="L75" s="62">
        <f t="shared" si="32"/>
        <v>0</v>
      </c>
      <c r="M75" s="30">
        <f>ROUND(L75*F75,2)</f>
        <v>0</v>
      </c>
      <c r="N75" s="103" t="e">
        <f>M75/$L$81</f>
        <v>#DIV/0!</v>
      </c>
    </row>
    <row r="76" spans="1:14" s="17" customFormat="1" ht="15">
      <c r="A76" s="38"/>
      <c r="B76" s="189"/>
      <c r="C76" s="27" t="s">
        <v>102</v>
      </c>
      <c r="D76" s="303" t="s">
        <v>118</v>
      </c>
      <c r="E76" s="69"/>
      <c r="F76" s="22"/>
      <c r="G76" s="30"/>
      <c r="H76" s="31"/>
      <c r="I76" s="31"/>
      <c r="J76" s="66"/>
      <c r="K76" s="61"/>
      <c r="L76" s="62"/>
      <c r="M76" s="30"/>
      <c r="N76" s="25"/>
    </row>
    <row r="77" spans="1:14" s="17" customFormat="1" ht="15">
      <c r="A77" s="38">
        <v>2</v>
      </c>
      <c r="B77" s="184" t="s">
        <v>119</v>
      </c>
      <c r="C77" s="27" t="s">
        <v>199</v>
      </c>
      <c r="D77" s="28" t="s">
        <v>121</v>
      </c>
      <c r="E77" s="39" t="s">
        <v>20</v>
      </c>
      <c r="F77" s="22">
        <f>(4*0.3)</f>
        <v>1.2</v>
      </c>
      <c r="G77" s="30">
        <f>ROUND(I77*0.6,2)</f>
        <v>0</v>
      </c>
      <c r="H77" s="31">
        <f>ROUND(I77*0.4,2)</f>
        <v>0</v>
      </c>
      <c r="I77" s="31"/>
      <c r="J77" s="66">
        <f t="shared" si="30"/>
        <v>0</v>
      </c>
      <c r="K77" s="61">
        <f t="shared" si="31"/>
        <v>0</v>
      </c>
      <c r="L77" s="62">
        <f t="shared" si="32"/>
        <v>0</v>
      </c>
      <c r="M77" s="30">
        <f>ROUND(L77*F77,2)</f>
        <v>0</v>
      </c>
      <c r="N77" s="25" t="e">
        <f>M77/$L$81</f>
        <v>#DIV/0!</v>
      </c>
    </row>
    <row r="78" spans="1:14" s="17" customFormat="1" ht="15">
      <c r="A78" s="38"/>
      <c r="B78" s="189" t="s">
        <v>119</v>
      </c>
      <c r="C78" s="68" t="s">
        <v>264</v>
      </c>
      <c r="D78" s="28" t="s">
        <v>285</v>
      </c>
      <c r="E78" s="69" t="s">
        <v>20</v>
      </c>
      <c r="F78" s="22">
        <f>(0.32*2)</f>
        <v>0.64</v>
      </c>
      <c r="G78" s="30">
        <f>ROUND(I78*0.6,2)</f>
        <v>0</v>
      </c>
      <c r="H78" s="31">
        <f>ROUND(I78*0.4,2)</f>
        <v>0</v>
      </c>
      <c r="I78" s="31"/>
      <c r="J78" s="66">
        <f>ROUND(L78*0.6,2)</f>
        <v>0</v>
      </c>
      <c r="K78" s="61">
        <f>ROUND(L78*0.4,2)</f>
        <v>0</v>
      </c>
      <c r="L78" s="62">
        <f>ROUND((I78*$L$7)+I78,2)</f>
        <v>0</v>
      </c>
      <c r="M78" s="30">
        <f>ROUND(L78*F78,2)</f>
        <v>0</v>
      </c>
      <c r="N78" s="25" t="e">
        <f>M78/$L$81</f>
        <v>#DIV/0!</v>
      </c>
    </row>
    <row r="79" spans="1:14" s="17" customFormat="1" ht="15">
      <c r="A79" s="38"/>
      <c r="B79" s="189" t="s">
        <v>119</v>
      </c>
      <c r="C79" s="68" t="s">
        <v>265</v>
      </c>
      <c r="D79" s="28" t="s">
        <v>286</v>
      </c>
      <c r="E79" s="69" t="s">
        <v>20</v>
      </c>
      <c r="F79" s="22">
        <f>(0.1592*4)</f>
        <v>0.6368</v>
      </c>
      <c r="G79" s="30">
        <f>ROUND(I79*0.6,2)</f>
        <v>0</v>
      </c>
      <c r="H79" s="31">
        <f>ROUND(I79*0.4,2)</f>
        <v>0</v>
      </c>
      <c r="I79" s="31"/>
      <c r="J79" s="66">
        <f>ROUND(L79*0.6,2)</f>
        <v>0</v>
      </c>
      <c r="K79" s="61">
        <f>ROUND(L79*0.4,2)</f>
        <v>0</v>
      </c>
      <c r="L79" s="62">
        <f>ROUND((I79*$L$7)+I79,2)</f>
        <v>0</v>
      </c>
      <c r="M79" s="30">
        <f>ROUND(L79*F79,2)</f>
        <v>0</v>
      </c>
      <c r="N79" s="25" t="e">
        <f>M79/$L$81</f>
        <v>#DIV/0!</v>
      </c>
    </row>
    <row r="80" spans="1:14" s="17" customFormat="1" ht="15.75" thickBot="1">
      <c r="A80" s="38">
        <v>2</v>
      </c>
      <c r="B80" s="184" t="s">
        <v>119</v>
      </c>
      <c r="C80" s="27" t="s">
        <v>284</v>
      </c>
      <c r="D80" s="28" t="s">
        <v>122</v>
      </c>
      <c r="E80" s="39" t="s">
        <v>20</v>
      </c>
      <c r="F80" s="22">
        <f>(2*0.56)</f>
        <v>1.12</v>
      </c>
      <c r="G80" s="30">
        <f>ROUND(I80*0.6,2)</f>
        <v>0</v>
      </c>
      <c r="H80" s="31">
        <f>ROUND(I80*0.4,2)</f>
        <v>0</v>
      </c>
      <c r="I80" s="31"/>
      <c r="J80" s="66">
        <f t="shared" si="30"/>
        <v>0</v>
      </c>
      <c r="K80" s="61">
        <f t="shared" si="31"/>
        <v>0</v>
      </c>
      <c r="L80" s="62">
        <f t="shared" si="32"/>
        <v>0</v>
      </c>
      <c r="M80" s="30">
        <f>ROUND(L80*F80,2)</f>
        <v>0</v>
      </c>
      <c r="N80" s="25" t="e">
        <f>M80/$L$81</f>
        <v>#DIV/0!</v>
      </c>
    </row>
    <row r="81" spans="1:16" ht="15.75" customHeight="1" thickBot="1">
      <c r="A81" s="48"/>
      <c r="B81" s="49"/>
      <c r="C81" s="49"/>
      <c r="D81" s="322"/>
      <c r="E81" s="322"/>
      <c r="F81" s="322"/>
      <c r="G81" s="322"/>
      <c r="H81" s="322"/>
      <c r="I81" s="322"/>
      <c r="J81" s="322"/>
      <c r="K81" s="322"/>
      <c r="L81" s="323">
        <f>SUM(M72:M80)</f>
        <v>0</v>
      </c>
      <c r="M81" s="323"/>
      <c r="N81" s="104" t="e">
        <f>L81/L99</f>
        <v>#DIV/0!</v>
      </c>
      <c r="O81" s="51"/>
      <c r="P81" s="52" t="e">
        <f>SUM(N72:N80)</f>
        <v>#DIV/0!</v>
      </c>
    </row>
    <row r="82" spans="1:16" ht="15">
      <c r="A82" s="86"/>
      <c r="B82" s="87"/>
      <c r="C82" s="88">
        <v>6</v>
      </c>
      <c r="D82" s="89" t="s">
        <v>124</v>
      </c>
      <c r="E82" s="90"/>
      <c r="F82" s="91"/>
      <c r="G82" s="90"/>
      <c r="H82" s="90"/>
      <c r="I82" s="90"/>
      <c r="J82" s="66"/>
      <c r="K82" s="61"/>
      <c r="L82" s="92"/>
      <c r="M82" s="92"/>
      <c r="N82" s="93"/>
      <c r="O82" s="17"/>
      <c r="P82" s="37"/>
    </row>
    <row r="83" spans="1:16" s="17" customFormat="1" ht="15">
      <c r="A83" s="33"/>
      <c r="B83" s="184"/>
      <c r="C83" s="99" t="s">
        <v>107</v>
      </c>
      <c r="D83" s="303" t="s">
        <v>125</v>
      </c>
      <c r="E83" s="105"/>
      <c r="F83" s="22"/>
      <c r="G83" s="30"/>
      <c r="H83" s="31"/>
      <c r="I83" s="40"/>
      <c r="J83" s="66"/>
      <c r="K83" s="61"/>
      <c r="L83" s="30"/>
      <c r="M83" s="30"/>
      <c r="N83" s="25"/>
      <c r="P83" s="37"/>
    </row>
    <row r="84" spans="1:16" s="17" customFormat="1" ht="15">
      <c r="A84" s="33">
        <v>1</v>
      </c>
      <c r="B84" s="184" t="s">
        <v>126</v>
      </c>
      <c r="C84" s="99" t="s">
        <v>110</v>
      </c>
      <c r="D84" s="28" t="s">
        <v>127</v>
      </c>
      <c r="E84" s="105" t="s">
        <v>8</v>
      </c>
      <c r="F84" s="22">
        <v>4</v>
      </c>
      <c r="G84" s="30">
        <f>ROUND(I84*0.6,2)</f>
        <v>0</v>
      </c>
      <c r="H84" s="31">
        <f>ROUND(I84*0.4,2)</f>
        <v>0</v>
      </c>
      <c r="I84" s="40"/>
      <c r="J84" s="66">
        <f>ROUND(L84*0.6,2)</f>
        <v>0</v>
      </c>
      <c r="K84" s="61">
        <f>ROUND(L84*0.4,2)</f>
        <v>0</v>
      </c>
      <c r="L84" s="30">
        <f>ROUND((I84*$L$7)+I84,2)</f>
        <v>0</v>
      </c>
      <c r="M84" s="23">
        <f>ROUND(L84*F84,2)</f>
        <v>0</v>
      </c>
      <c r="N84" s="25" t="e">
        <f>M84/$L$95</f>
        <v>#DIV/0!</v>
      </c>
      <c r="P84" s="37"/>
    </row>
    <row r="85" spans="1:16" s="17" customFormat="1" ht="25.5">
      <c r="A85" s="33">
        <v>1</v>
      </c>
      <c r="B85" s="189" t="s">
        <v>128</v>
      </c>
      <c r="C85" s="99" t="s">
        <v>111</v>
      </c>
      <c r="D85" s="28" t="s">
        <v>129</v>
      </c>
      <c r="E85" s="105" t="s">
        <v>8</v>
      </c>
      <c r="F85" s="22">
        <v>4</v>
      </c>
      <c r="G85" s="30">
        <f>ROUND(I85*0.6,2)</f>
        <v>0</v>
      </c>
      <c r="H85" s="31">
        <f>ROUND(I85*0.4,2)</f>
        <v>0</v>
      </c>
      <c r="I85" s="40"/>
      <c r="J85" s="66">
        <f>ROUND(L85*0.6,2)</f>
        <v>0</v>
      </c>
      <c r="K85" s="61">
        <f>ROUND(L85*0.4,2)</f>
        <v>0</v>
      </c>
      <c r="L85" s="30">
        <f>ROUND((I85*$L$7)+I85,2)</f>
        <v>0</v>
      </c>
      <c r="M85" s="23">
        <f>ROUND(L85*F85,2)</f>
        <v>0</v>
      </c>
      <c r="N85" s="25" t="e">
        <f>M85/$L$95</f>
        <v>#DIV/0!</v>
      </c>
      <c r="P85" s="37"/>
    </row>
    <row r="86" spans="1:16" s="17" customFormat="1" ht="15">
      <c r="A86" s="33">
        <v>1</v>
      </c>
      <c r="B86" s="184" t="s">
        <v>130</v>
      </c>
      <c r="C86" s="99" t="s">
        <v>112</v>
      </c>
      <c r="D86" s="28" t="s">
        <v>131</v>
      </c>
      <c r="E86" s="105" t="s">
        <v>8</v>
      </c>
      <c r="F86" s="22">
        <v>4</v>
      </c>
      <c r="G86" s="30">
        <f>ROUND(I86*0.6,2)</f>
        <v>0</v>
      </c>
      <c r="H86" s="31">
        <f>ROUND(I86*0.4,2)</f>
        <v>0</v>
      </c>
      <c r="I86" s="40"/>
      <c r="J86" s="66">
        <f>ROUND(L86*0.6,2)</f>
        <v>0</v>
      </c>
      <c r="K86" s="61">
        <f>ROUND(L86*0.4,2)</f>
        <v>0</v>
      </c>
      <c r="L86" s="30">
        <f>ROUND((I86*$L$7)+I86,2)</f>
        <v>0</v>
      </c>
      <c r="M86" s="23">
        <f>ROUND(L86*F86,2)</f>
        <v>0</v>
      </c>
      <c r="N86" s="25" t="e">
        <f>M86/$L$95</f>
        <v>#DIV/0!</v>
      </c>
      <c r="P86" s="37"/>
    </row>
    <row r="87" spans="1:16" s="17" customFormat="1" ht="15">
      <c r="A87" s="33"/>
      <c r="B87" s="184"/>
      <c r="C87" s="27" t="s">
        <v>117</v>
      </c>
      <c r="D87" s="303" t="s">
        <v>132</v>
      </c>
      <c r="E87" s="39"/>
      <c r="F87" s="22"/>
      <c r="G87" s="30"/>
      <c r="H87" s="31"/>
      <c r="I87" s="40"/>
      <c r="J87" s="66"/>
      <c r="K87" s="61"/>
      <c r="L87" s="30"/>
      <c r="M87" s="23"/>
      <c r="N87" s="25"/>
      <c r="P87" s="37"/>
    </row>
    <row r="88" spans="1:16" s="17" customFormat="1" ht="25.5">
      <c r="A88" s="33">
        <v>1</v>
      </c>
      <c r="B88" s="184" t="s">
        <v>133</v>
      </c>
      <c r="C88" s="181" t="s">
        <v>120</v>
      </c>
      <c r="D88" s="28" t="s">
        <v>134</v>
      </c>
      <c r="E88" s="39" t="s">
        <v>8</v>
      </c>
      <c r="F88" s="22">
        <v>4</v>
      </c>
      <c r="G88" s="30">
        <f>ROUND(I88*0.6,2)</f>
        <v>0</v>
      </c>
      <c r="H88" s="31">
        <f>ROUND(I88*0.4,2)</f>
        <v>0</v>
      </c>
      <c r="I88" s="31"/>
      <c r="J88" s="66">
        <f>ROUND(L88*0.6,2)</f>
        <v>0</v>
      </c>
      <c r="K88" s="61">
        <f>ROUND(L88*0.4,2)</f>
        <v>0</v>
      </c>
      <c r="L88" s="30">
        <f>ROUND((I88*$L$7)+I88,2)</f>
        <v>0</v>
      </c>
      <c r="M88" s="23">
        <f>ROUND(L88*F88,2)</f>
        <v>0</v>
      </c>
      <c r="N88" s="25" t="e">
        <f>M88/$L$95</f>
        <v>#DIV/0!</v>
      </c>
      <c r="P88" s="37"/>
    </row>
    <row r="89" spans="1:16" s="17" customFormat="1" ht="15">
      <c r="A89" s="33"/>
      <c r="B89" s="184"/>
      <c r="C89" s="27" t="s">
        <v>200</v>
      </c>
      <c r="D89" s="303" t="s">
        <v>135</v>
      </c>
      <c r="E89" s="105"/>
      <c r="F89" s="22"/>
      <c r="G89" s="30"/>
      <c r="H89" s="31"/>
      <c r="I89" s="40"/>
      <c r="J89" s="66"/>
      <c r="K89" s="61"/>
      <c r="L89" s="30"/>
      <c r="M89" s="23"/>
      <c r="N89" s="25"/>
      <c r="P89" s="37"/>
    </row>
    <row r="90" spans="1:16" s="17" customFormat="1" ht="25.5">
      <c r="A90" s="33">
        <v>1</v>
      </c>
      <c r="B90" s="184" t="s">
        <v>133</v>
      </c>
      <c r="C90" s="99" t="s">
        <v>201</v>
      </c>
      <c r="D90" s="28" t="s">
        <v>134</v>
      </c>
      <c r="E90" s="105" t="s">
        <v>8</v>
      </c>
      <c r="F90" s="22">
        <v>4</v>
      </c>
      <c r="G90" s="30">
        <f>ROUND(I90*0.6,2)</f>
        <v>0</v>
      </c>
      <c r="H90" s="31">
        <f>ROUND(I90*0.4,2)</f>
        <v>0</v>
      </c>
      <c r="I90" s="40"/>
      <c r="J90" s="66">
        <f>ROUND(L90*0.6,2)</f>
        <v>0</v>
      </c>
      <c r="K90" s="61">
        <f>ROUND(L90*0.4,2)</f>
        <v>0</v>
      </c>
      <c r="L90" s="30">
        <f>ROUND((I90*$L$7)+I90,2)</f>
        <v>0</v>
      </c>
      <c r="M90" s="23">
        <f>ROUND(L90*F90,2)</f>
        <v>0</v>
      </c>
      <c r="N90" s="25" t="e">
        <f>M90/$L$95</f>
        <v>#DIV/0!</v>
      </c>
      <c r="P90" s="37"/>
    </row>
    <row r="91" spans="1:16" s="17" customFormat="1" ht="15">
      <c r="A91" s="33"/>
      <c r="B91" s="184"/>
      <c r="C91" s="99" t="s">
        <v>202</v>
      </c>
      <c r="D91" s="28" t="s">
        <v>136</v>
      </c>
      <c r="E91" s="105"/>
      <c r="F91" s="22"/>
      <c r="G91" s="30"/>
      <c r="H91" s="31"/>
      <c r="I91" s="40"/>
      <c r="J91" s="66"/>
      <c r="K91" s="61"/>
      <c r="L91" s="30"/>
      <c r="M91" s="23"/>
      <c r="N91" s="25"/>
      <c r="P91" s="37"/>
    </row>
    <row r="92" spans="1:16" s="17" customFormat="1" ht="15">
      <c r="A92" s="33">
        <v>1</v>
      </c>
      <c r="B92" s="184" t="s">
        <v>137</v>
      </c>
      <c r="C92" s="99" t="s">
        <v>203</v>
      </c>
      <c r="D92" s="28" t="s">
        <v>138</v>
      </c>
      <c r="E92" s="105" t="s">
        <v>20</v>
      </c>
      <c r="F92" s="22">
        <v>1157</v>
      </c>
      <c r="G92" s="30">
        <f>ROUND(I92*0.6,2)</f>
        <v>0</v>
      </c>
      <c r="H92" s="31">
        <f>ROUND(I92*0.4,2)</f>
        <v>0</v>
      </c>
      <c r="I92" s="40"/>
      <c r="J92" s="66">
        <f>ROUND(L92*0.6,2)</f>
        <v>0</v>
      </c>
      <c r="K92" s="61">
        <f>ROUND(L92*0.4,2)</f>
        <v>0</v>
      </c>
      <c r="L92" s="30">
        <f>ROUND((I92*$L$7)+I92,2)</f>
        <v>0</v>
      </c>
      <c r="M92" s="23">
        <f>ROUND(L92*F92,2)</f>
        <v>0</v>
      </c>
      <c r="N92" s="25" t="e">
        <f>M92/$L$95</f>
        <v>#DIV/0!</v>
      </c>
      <c r="P92" s="37"/>
    </row>
    <row r="93" spans="1:16" s="17" customFormat="1" ht="15">
      <c r="A93" s="33">
        <v>1</v>
      </c>
      <c r="B93" s="184">
        <v>74259</v>
      </c>
      <c r="C93" s="99" t="s">
        <v>204</v>
      </c>
      <c r="D93" s="28" t="s">
        <v>139</v>
      </c>
      <c r="E93" s="105" t="s">
        <v>20</v>
      </c>
      <c r="F93" s="22">
        <v>1157</v>
      </c>
      <c r="G93" s="30">
        <f>ROUND(I93*0.6,2)</f>
        <v>0</v>
      </c>
      <c r="H93" s="31">
        <f>ROUND(I93*0.4,2)</f>
        <v>0</v>
      </c>
      <c r="I93" s="40"/>
      <c r="J93" s="66">
        <f>ROUND(L93*0.6,2)</f>
        <v>0</v>
      </c>
      <c r="K93" s="61">
        <f>ROUND(L93*0.4,2)</f>
        <v>0</v>
      </c>
      <c r="L93" s="30">
        <f>ROUND((I93*$L$7)+I93,2)</f>
        <v>0</v>
      </c>
      <c r="M93" s="23">
        <f>ROUND(L93*F93,2)</f>
        <v>0</v>
      </c>
      <c r="N93" s="25" t="e">
        <f>M93/$L$95</f>
        <v>#DIV/0!</v>
      </c>
      <c r="P93" s="37"/>
    </row>
    <row r="94" spans="1:16" s="17" customFormat="1" ht="15">
      <c r="A94" s="98">
        <v>1</v>
      </c>
      <c r="B94" s="186" t="s">
        <v>140</v>
      </c>
      <c r="C94" s="182" t="s">
        <v>205</v>
      </c>
      <c r="D94" s="44" t="s">
        <v>141</v>
      </c>
      <c r="E94" s="106" t="s">
        <v>74</v>
      </c>
      <c r="F94" s="74">
        <f>(F38*0.2)</f>
        <v>27.768</v>
      </c>
      <c r="G94" s="45">
        <f>ROUND(I94*0.6,2)</f>
        <v>0</v>
      </c>
      <c r="H94" s="46">
        <f>ROUND(I94*0.4,2)</f>
        <v>0</v>
      </c>
      <c r="I94" s="219"/>
      <c r="J94" s="66">
        <f>ROUND(L94*0.6,2)</f>
        <v>0</v>
      </c>
      <c r="K94" s="61">
        <f>ROUND(L94*0.4,2)</f>
        <v>0</v>
      </c>
      <c r="L94" s="30">
        <f>ROUND((I94*$L$7)+I94,2)</f>
        <v>0</v>
      </c>
      <c r="M94" s="23">
        <f>ROUND(L94*F94,2)</f>
        <v>0</v>
      </c>
      <c r="N94" s="47" t="e">
        <f>M94/$L$95</f>
        <v>#DIV/0!</v>
      </c>
      <c r="P94" s="37"/>
    </row>
    <row r="95" spans="1:16" ht="15.75" customHeight="1">
      <c r="A95" s="48"/>
      <c r="B95" s="49"/>
      <c r="C95" s="49"/>
      <c r="D95" s="322"/>
      <c r="E95" s="322"/>
      <c r="F95" s="322"/>
      <c r="G95" s="322"/>
      <c r="H95" s="322"/>
      <c r="I95" s="322"/>
      <c r="J95" s="322"/>
      <c r="K95" s="322"/>
      <c r="L95" s="323">
        <f>SUM(M84:M94)</f>
        <v>0</v>
      </c>
      <c r="M95" s="323"/>
      <c r="N95" s="50" t="e">
        <f>L95/L99</f>
        <v>#DIV/0!</v>
      </c>
      <c r="O95" s="51"/>
      <c r="P95" s="52" t="e">
        <f>SUM(N84:N94)</f>
        <v>#DIV/0!</v>
      </c>
    </row>
    <row r="96" spans="1:14" ht="15">
      <c r="A96" s="53"/>
      <c r="B96" s="54"/>
      <c r="C96" s="55">
        <v>7</v>
      </c>
      <c r="D96" s="56" t="s">
        <v>142</v>
      </c>
      <c r="E96" s="41"/>
      <c r="F96" s="57"/>
      <c r="G96" s="58"/>
      <c r="H96" s="59"/>
      <c r="I96" s="59"/>
      <c r="J96" s="61"/>
      <c r="K96" s="61"/>
      <c r="L96" s="59"/>
      <c r="M96" s="58"/>
      <c r="N96" s="60"/>
    </row>
    <row r="97" spans="1:16" s="17" customFormat="1" ht="15">
      <c r="A97" s="42">
        <v>1</v>
      </c>
      <c r="B97" s="190">
        <v>9537</v>
      </c>
      <c r="C97" s="43" t="s">
        <v>123</v>
      </c>
      <c r="D97" s="44" t="s">
        <v>143</v>
      </c>
      <c r="E97" s="73" t="s">
        <v>20</v>
      </c>
      <c r="F97" s="74">
        <v>1157</v>
      </c>
      <c r="G97" s="45">
        <f>ROUND(I97*0.6,2)</f>
        <v>0</v>
      </c>
      <c r="H97" s="46">
        <f>ROUND(I97*0.4,2)</f>
        <v>0</v>
      </c>
      <c r="I97" s="219"/>
      <c r="J97" s="61">
        <f>ROUND(L97*0.6,2)</f>
        <v>0</v>
      </c>
      <c r="K97" s="61">
        <f>ROUND(L97*0.4,2)</f>
        <v>0</v>
      </c>
      <c r="L97" s="30">
        <f>ROUND((I97*$L$7)+I97,2)</f>
        <v>0</v>
      </c>
      <c r="M97" s="23">
        <f>ROUND(L97*F97,2)</f>
        <v>0</v>
      </c>
      <c r="N97" s="107" t="e">
        <f>M97/L98</f>
        <v>#DIV/0!</v>
      </c>
      <c r="P97" s="37"/>
    </row>
    <row r="98" spans="1:16" ht="15.75" customHeight="1" thickBot="1">
      <c r="A98" s="48"/>
      <c r="B98" s="49"/>
      <c r="C98" s="49"/>
      <c r="D98" s="322" t="s">
        <v>47</v>
      </c>
      <c r="E98" s="322"/>
      <c r="F98" s="322"/>
      <c r="G98" s="322"/>
      <c r="H98" s="322"/>
      <c r="I98" s="322"/>
      <c r="J98" s="322"/>
      <c r="K98" s="322"/>
      <c r="L98" s="323">
        <f>M97</f>
        <v>0</v>
      </c>
      <c r="M98" s="323"/>
      <c r="N98" s="104" t="e">
        <f>L98/L99</f>
        <v>#DIV/0!</v>
      </c>
      <c r="O98" s="51"/>
      <c r="P98" s="52" t="e">
        <f>N97</f>
        <v>#DIV/0!</v>
      </c>
    </row>
    <row r="99" spans="1:14" ht="18.75" customHeight="1" thickBot="1">
      <c r="A99" s="298"/>
      <c r="B99" s="299"/>
      <c r="C99" s="300"/>
      <c r="D99" s="328" t="s">
        <v>144</v>
      </c>
      <c r="E99" s="328"/>
      <c r="F99" s="328"/>
      <c r="G99" s="328"/>
      <c r="H99" s="328"/>
      <c r="I99" s="328"/>
      <c r="J99" s="328"/>
      <c r="K99" s="328"/>
      <c r="L99" s="329">
        <f>L23+L40+L61+L69+L81+L95+L98</f>
        <v>0</v>
      </c>
      <c r="M99" s="329"/>
      <c r="N99" s="301" t="e">
        <f>N23+N40+N61+N69+N81++N95+N98</f>
        <v>#DIV/0!</v>
      </c>
    </row>
    <row r="100" spans="1:12" ht="8.25" customHeight="1">
      <c r="A100"/>
      <c r="B100"/>
      <c r="D100"/>
      <c r="E100"/>
      <c r="F100"/>
      <c r="H100"/>
      <c r="I100"/>
      <c r="J100"/>
      <c r="K100"/>
      <c r="L100"/>
    </row>
    <row r="101" spans="1:14" ht="16.5" thickBot="1">
      <c r="A101" s="216"/>
      <c r="B101" s="217"/>
      <c r="C101" s="217"/>
      <c r="D101" s="326" t="s">
        <v>298</v>
      </c>
      <c r="E101" s="327"/>
      <c r="F101" s="327"/>
      <c r="G101" s="327"/>
      <c r="H101" s="327"/>
      <c r="I101" s="327"/>
      <c r="J101" s="327"/>
      <c r="K101" s="327"/>
      <c r="L101" s="324">
        <f>(M18+M19+M20+M21+M22)</f>
        <v>0</v>
      </c>
      <c r="M101" s="325"/>
      <c r="N101" s="218"/>
    </row>
    <row r="102" spans="3:6" ht="15">
      <c r="C102" s="2"/>
      <c r="D102" s="108"/>
      <c r="E102" s="109"/>
      <c r="F102" s="110"/>
    </row>
    <row r="103" spans="3:6" ht="15">
      <c r="C103" s="2"/>
      <c r="D103" s="108" t="s">
        <v>244</v>
      </c>
      <c r="E103" s="109"/>
      <c r="F103" s="110"/>
    </row>
    <row r="104" ht="15">
      <c r="D104" s="183" t="s">
        <v>206</v>
      </c>
    </row>
    <row r="105" ht="15">
      <c r="D105" s="183" t="s">
        <v>207</v>
      </c>
    </row>
    <row r="107" spans="3:6" ht="15">
      <c r="C107" s="2"/>
      <c r="D107" s="108" t="s">
        <v>244</v>
      </c>
      <c r="E107" s="109"/>
      <c r="F107" s="110"/>
    </row>
    <row r="108" ht="15">
      <c r="D108" s="183" t="s">
        <v>242</v>
      </c>
    </row>
    <row r="109" ht="15">
      <c r="D109" s="183" t="s">
        <v>243</v>
      </c>
    </row>
  </sheetData>
  <sheetProtection selectLockedCells="1" selectUnlockedCells="1"/>
  <mergeCells count="41">
    <mergeCell ref="L101:M101"/>
    <mergeCell ref="D101:K101"/>
    <mergeCell ref="D99:K99"/>
    <mergeCell ref="L99:M99"/>
    <mergeCell ref="D95:K95"/>
    <mergeCell ref="L95:M95"/>
    <mergeCell ref="D98:K98"/>
    <mergeCell ref="L98:M98"/>
    <mergeCell ref="D69:K69"/>
    <mergeCell ref="L69:M69"/>
    <mergeCell ref="D81:K81"/>
    <mergeCell ref="L81:M81"/>
    <mergeCell ref="D61:K61"/>
    <mergeCell ref="L61:M61"/>
    <mergeCell ref="M8:M9"/>
    <mergeCell ref="N8:N9"/>
    <mergeCell ref="D23:K23"/>
    <mergeCell ref="L23:M23"/>
    <mergeCell ref="D40:K40"/>
    <mergeCell ref="L40:M40"/>
    <mergeCell ref="C7:D7"/>
    <mergeCell ref="E7:J7"/>
    <mergeCell ref="A8:B9"/>
    <mergeCell ref="C8:C9"/>
    <mergeCell ref="D8:D9"/>
    <mergeCell ref="E8:E9"/>
    <mergeCell ref="F8:F9"/>
    <mergeCell ref="G8:I8"/>
    <mergeCell ref="J8:L8"/>
    <mergeCell ref="C5:D5"/>
    <mergeCell ref="E5:J5"/>
    <mergeCell ref="K5:N5"/>
    <mergeCell ref="C6:D6"/>
    <mergeCell ref="E6:J6"/>
    <mergeCell ref="K6:N6"/>
    <mergeCell ref="A1:N1"/>
    <mergeCell ref="A2:N2"/>
    <mergeCell ref="A3:N3"/>
    <mergeCell ref="C4:D4"/>
    <mergeCell ref="E4:J4"/>
    <mergeCell ref="K4:N4"/>
  </mergeCells>
  <printOptions/>
  <pageMargins left="0.5513888888888889" right="0.19652777777777777" top="0.03958333333333333" bottom="0" header="0.5118055555555555" footer="0.5118055555555555"/>
  <pageSetup fitToHeight="3" fitToWidth="1"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="80" zoomScaleNormal="80" zoomScaleSheetLayoutView="70" zoomScalePageLayoutView="0" workbookViewId="0" topLeftCell="A1">
      <selection activeCell="J37" sqref="A1:M37"/>
    </sheetView>
  </sheetViews>
  <sheetFormatPr defaultColWidth="14.7109375" defaultRowHeight="15"/>
  <cols>
    <col min="1" max="1" width="6.28125" style="111" customWidth="1"/>
    <col min="2" max="2" width="25.421875" style="112" customWidth="1"/>
    <col min="3" max="3" width="47.140625" style="112" customWidth="1"/>
    <col min="4" max="4" width="20.421875" style="112" customWidth="1"/>
    <col min="5" max="5" width="9.140625" style="112" customWidth="1"/>
    <col min="6" max="6" width="16.8515625" style="112" customWidth="1"/>
    <col min="7" max="7" width="10.28125" style="112" customWidth="1"/>
    <col min="8" max="8" width="17.28125" style="112" customWidth="1"/>
    <col min="9" max="9" width="15.57421875" style="112" customWidth="1"/>
    <col min="10" max="10" width="13.8515625" style="112" customWidth="1"/>
    <col min="11" max="11" width="0.9921875" style="112" hidden="1" customWidth="1"/>
    <col min="12" max="12" width="18.7109375" style="112" hidden="1" customWidth="1"/>
    <col min="13" max="13" width="9.421875" style="112" hidden="1" customWidth="1"/>
    <col min="14" max="14" width="18.28125" style="112" customWidth="1"/>
    <col min="15" max="15" width="9.00390625" style="112" customWidth="1"/>
    <col min="16" max="16" width="18.421875" style="112" customWidth="1"/>
    <col min="17" max="17" width="8.421875" style="112" customWidth="1"/>
    <col min="18" max="18" width="16.8515625" style="112" customWidth="1"/>
    <col min="19" max="19" width="8.7109375" style="112" customWidth="1"/>
    <col min="20" max="20" width="16.28125" style="112" customWidth="1"/>
    <col min="21" max="21" width="20.421875" style="112" customWidth="1"/>
    <col min="22" max="22" width="10.8515625" style="112" customWidth="1"/>
    <col min="23" max="242" width="9.140625" style="112" customWidth="1"/>
    <col min="243" max="243" width="5.7109375" style="112" customWidth="1"/>
    <col min="244" max="244" width="30.7109375" style="112" customWidth="1"/>
    <col min="245" max="245" width="6.7109375" style="112" customWidth="1"/>
    <col min="246" max="246" width="12.421875" style="112" customWidth="1"/>
    <col min="247" max="247" width="7.7109375" style="112" customWidth="1"/>
    <col min="248" max="248" width="14.7109375" style="112" customWidth="1"/>
    <col min="249" max="249" width="7.7109375" style="112" customWidth="1"/>
    <col min="250" max="250" width="14.7109375" style="112" customWidth="1"/>
    <col min="251" max="251" width="7.7109375" style="112" customWidth="1"/>
    <col min="252" max="252" width="14.7109375" style="112" customWidth="1"/>
    <col min="253" max="253" width="7.7109375" style="112" customWidth="1"/>
    <col min="254" max="254" width="14.7109375" style="112" customWidth="1"/>
    <col min="255" max="255" width="7.7109375" style="112" customWidth="1"/>
    <col min="256" max="16384" width="14.7109375" style="112" customWidth="1"/>
  </cols>
  <sheetData>
    <row r="1" spans="1:13" ht="12.7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</row>
    <row r="2" spans="1:22" ht="66" customHeight="1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232"/>
      <c r="N2" s="221"/>
      <c r="O2" s="221"/>
      <c r="P2" s="221"/>
      <c r="Q2" s="221"/>
      <c r="R2" s="221"/>
      <c r="S2" s="221"/>
      <c r="T2" s="221"/>
      <c r="U2" s="221"/>
      <c r="V2" s="221"/>
    </row>
    <row r="3" spans="1:22" ht="18" customHeight="1">
      <c r="A3" s="332" t="str">
        <f>'[1]ORÇAMENTO'!$A$2</f>
        <v> UNIDADE DE GERENCIAMENTO DE PROJETOS - UGP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4"/>
      <c r="N3" s="222"/>
      <c r="O3" s="222"/>
      <c r="P3" s="222"/>
      <c r="Q3" s="222"/>
      <c r="R3" s="222"/>
      <c r="S3" s="222"/>
      <c r="T3" s="222"/>
      <c r="U3" s="222"/>
      <c r="V3" s="222"/>
    </row>
    <row r="4" spans="1:13" ht="18.75" customHeight="1" thickBot="1">
      <c r="A4" s="335" t="s">
        <v>228</v>
      </c>
      <c r="B4" s="336"/>
      <c r="C4" s="336"/>
      <c r="D4" s="336"/>
      <c r="E4" s="336"/>
      <c r="F4" s="336"/>
      <c r="G4" s="336"/>
      <c r="H4" s="336"/>
      <c r="I4" s="336"/>
      <c r="J4" s="337"/>
      <c r="K4" s="336"/>
      <c r="L4" s="336"/>
      <c r="M4" s="338"/>
    </row>
    <row r="5" spans="1:13" ht="15" customHeight="1" thickBot="1">
      <c r="A5" s="339" t="s">
        <v>237</v>
      </c>
      <c r="B5" s="340"/>
      <c r="C5" s="341"/>
      <c r="D5" s="342" t="str">
        <f>'[1]ORÇAMENTO'!E4</f>
        <v>Data de elaboração: FEVEREIRO/2015</v>
      </c>
      <c r="E5" s="340"/>
      <c r="F5" s="340"/>
      <c r="G5" s="340"/>
      <c r="H5" s="340"/>
      <c r="I5" s="341"/>
      <c r="J5" s="223"/>
      <c r="K5" s="225"/>
      <c r="L5" s="225"/>
      <c r="M5" s="226"/>
    </row>
    <row r="6" spans="1:13" ht="15" customHeight="1" thickBot="1">
      <c r="A6" s="343" t="s">
        <v>236</v>
      </c>
      <c r="B6" s="344"/>
      <c r="C6" s="345"/>
      <c r="D6" s="342" t="s">
        <v>231</v>
      </c>
      <c r="E6" s="340"/>
      <c r="F6" s="340"/>
      <c r="G6" s="340"/>
      <c r="H6" s="340"/>
      <c r="I6" s="341"/>
      <c r="J6" s="223"/>
      <c r="K6" s="227"/>
      <c r="L6" s="227"/>
      <c r="M6" s="228"/>
    </row>
    <row r="7" spans="1:13" ht="15" customHeight="1" thickBot="1">
      <c r="A7" s="343" t="s">
        <v>235</v>
      </c>
      <c r="B7" s="344"/>
      <c r="C7" s="345"/>
      <c r="D7" s="342"/>
      <c r="E7" s="340"/>
      <c r="F7" s="340"/>
      <c r="G7" s="340"/>
      <c r="H7" s="340"/>
      <c r="I7" s="341"/>
      <c r="J7" s="223"/>
      <c r="K7" s="227"/>
      <c r="L7" s="227"/>
      <c r="M7" s="228"/>
    </row>
    <row r="8" spans="1:13" ht="15.75" customHeight="1" thickBot="1">
      <c r="A8" s="351" t="s">
        <v>238</v>
      </c>
      <c r="B8" s="352"/>
      <c r="C8" s="353"/>
      <c r="D8" s="342" t="s">
        <v>232</v>
      </c>
      <c r="E8" s="340"/>
      <c r="F8" s="340"/>
      <c r="G8" s="340"/>
      <c r="H8" s="340"/>
      <c r="I8" s="341"/>
      <c r="J8" s="223" t="s">
        <v>229</v>
      </c>
      <c r="K8" s="224">
        <f>'[1]ORÇAMENTO'!M7</f>
        <v>0.25</v>
      </c>
      <c r="L8" s="224"/>
      <c r="M8" s="224"/>
    </row>
    <row r="9" spans="1:13" ht="12.75" customHeight="1">
      <c r="A9" s="355" t="s">
        <v>6</v>
      </c>
      <c r="B9" s="356" t="s">
        <v>145</v>
      </c>
      <c r="C9" s="356" t="s">
        <v>146</v>
      </c>
      <c r="D9" s="350" t="s">
        <v>147</v>
      </c>
      <c r="E9" s="354" t="s">
        <v>148</v>
      </c>
      <c r="F9" s="354"/>
      <c r="G9" s="354" t="s">
        <v>326</v>
      </c>
      <c r="H9" s="354"/>
      <c r="I9" s="356" t="s">
        <v>12</v>
      </c>
      <c r="J9" s="356" t="s">
        <v>13</v>
      </c>
      <c r="K9" s="233"/>
      <c r="L9" s="233"/>
      <c r="M9" s="234"/>
    </row>
    <row r="10" spans="1:13" ht="12.75">
      <c r="A10" s="355"/>
      <c r="B10" s="356"/>
      <c r="C10" s="356"/>
      <c r="D10" s="350"/>
      <c r="E10" s="113" t="s">
        <v>13</v>
      </c>
      <c r="F10" s="114" t="s">
        <v>149</v>
      </c>
      <c r="G10" s="113" t="s">
        <v>13</v>
      </c>
      <c r="H10" s="114" t="s">
        <v>149</v>
      </c>
      <c r="I10" s="356"/>
      <c r="J10" s="356"/>
      <c r="K10" s="233"/>
      <c r="L10" s="233"/>
      <c r="M10" s="234"/>
    </row>
    <row r="11" spans="1:13" ht="12.75">
      <c r="A11" s="346">
        <v>1</v>
      </c>
      <c r="B11" s="347" t="str">
        <f>ORÇAMENTO!D10</f>
        <v>SERVIÇOS INICIAIS</v>
      </c>
      <c r="C11" s="348" t="e">
        <f>ORÇAMENTO!N23</f>
        <v>#DIV/0!</v>
      </c>
      <c r="D11" s="349">
        <f>ORÇAMENTO!L23</f>
        <v>0</v>
      </c>
      <c r="E11" s="348">
        <v>1</v>
      </c>
      <c r="F11" s="116">
        <f>D11*E11</f>
        <v>0</v>
      </c>
      <c r="G11" s="348">
        <v>0</v>
      </c>
      <c r="H11" s="116">
        <f>G11*D11</f>
        <v>0</v>
      </c>
      <c r="I11" s="349">
        <f>ROUND(F11+H11,2)</f>
        <v>0</v>
      </c>
      <c r="J11" s="348">
        <f>E11+G11</f>
        <v>1</v>
      </c>
      <c r="K11" s="233"/>
      <c r="L11" s="233"/>
      <c r="M11" s="234"/>
    </row>
    <row r="12" spans="1:13" ht="12.75">
      <c r="A12" s="346"/>
      <c r="B12" s="347"/>
      <c r="C12" s="348"/>
      <c r="D12" s="349"/>
      <c r="E12" s="348"/>
      <c r="F12" s="115">
        <f>E11</f>
        <v>1</v>
      </c>
      <c r="G12" s="348"/>
      <c r="H12" s="115">
        <f>G11</f>
        <v>0</v>
      </c>
      <c r="I12" s="349"/>
      <c r="J12" s="348"/>
      <c r="K12" s="233"/>
      <c r="L12" s="233"/>
      <c r="M12" s="234"/>
    </row>
    <row r="13" spans="1:13" ht="12.75">
      <c r="A13" s="346">
        <v>2</v>
      </c>
      <c r="B13" s="347" t="str">
        <f>ORÇAMENTO!D24</f>
        <v>PAVIMENTAÇÃO</v>
      </c>
      <c r="C13" s="348" t="e">
        <f>ORÇAMENTO!N40</f>
        <v>#DIV/0!</v>
      </c>
      <c r="D13" s="349">
        <f>ORÇAMENTO!L40</f>
        <v>0</v>
      </c>
      <c r="E13" s="348">
        <v>0.25</v>
      </c>
      <c r="F13" s="116">
        <f>E13*$D$13</f>
        <v>0</v>
      </c>
      <c r="G13" s="348">
        <v>0.75</v>
      </c>
      <c r="H13" s="116">
        <f>G13*$D$13</f>
        <v>0</v>
      </c>
      <c r="I13" s="349">
        <f>ROUND(F13+H13,2)</f>
        <v>0</v>
      </c>
      <c r="J13" s="348">
        <f>E13+G13</f>
        <v>1</v>
      </c>
      <c r="K13" s="233"/>
      <c r="L13" s="233"/>
      <c r="M13" s="234"/>
    </row>
    <row r="14" spans="1:13" ht="12.75">
      <c r="A14" s="346"/>
      <c r="B14" s="347"/>
      <c r="C14" s="348"/>
      <c r="D14" s="349"/>
      <c r="E14" s="348"/>
      <c r="F14" s="115">
        <f>E13</f>
        <v>0.25</v>
      </c>
      <c r="G14" s="348"/>
      <c r="H14" s="115">
        <f>G13</f>
        <v>0.75</v>
      </c>
      <c r="I14" s="349"/>
      <c r="J14" s="348"/>
      <c r="K14" s="233"/>
      <c r="L14" s="233"/>
      <c r="M14" s="234"/>
    </row>
    <row r="15" spans="1:13" s="119" customFormat="1" ht="12.75">
      <c r="A15" s="359">
        <v>3</v>
      </c>
      <c r="B15" s="360" t="str">
        <f>ORÇAMENTO!D41</f>
        <v>DRENAGEM</v>
      </c>
      <c r="C15" s="358" t="e">
        <f>ORÇAMENTO!N61</f>
        <v>#DIV/0!</v>
      </c>
      <c r="D15" s="357">
        <f>ORÇAMENTO!L61</f>
        <v>0</v>
      </c>
      <c r="E15" s="358">
        <v>0.75</v>
      </c>
      <c r="F15" s="118">
        <f>E15*$D$15</f>
        <v>0</v>
      </c>
      <c r="G15" s="358">
        <v>0.25</v>
      </c>
      <c r="H15" s="118">
        <f>G15*$D$15</f>
        <v>0</v>
      </c>
      <c r="I15" s="357">
        <f>ROUND(F15+H15,2)</f>
        <v>0</v>
      </c>
      <c r="J15" s="358">
        <f>E15+G15</f>
        <v>1</v>
      </c>
      <c r="K15" s="235"/>
      <c r="L15" s="235"/>
      <c r="M15" s="236"/>
    </row>
    <row r="16" spans="1:13" s="119" customFormat="1" ht="12.75">
      <c r="A16" s="359"/>
      <c r="B16" s="360"/>
      <c r="C16" s="358"/>
      <c r="D16" s="357"/>
      <c r="E16" s="358"/>
      <c r="F16" s="117">
        <f>E15</f>
        <v>0.75</v>
      </c>
      <c r="G16" s="358"/>
      <c r="H16" s="117">
        <f>G15</f>
        <v>0.25</v>
      </c>
      <c r="I16" s="357"/>
      <c r="J16" s="358"/>
      <c r="K16" s="235"/>
      <c r="L16" s="235"/>
      <c r="M16" s="236"/>
    </row>
    <row r="17" spans="1:13" ht="12.75">
      <c r="A17" s="346">
        <v>4</v>
      </c>
      <c r="B17" s="347" t="str">
        <f>ORÇAMENTO!D62</f>
        <v>PASSEIOS E RAMPAS </v>
      </c>
      <c r="C17" s="348" t="e">
        <f>ORÇAMENTO!N69</f>
        <v>#DIV/0!</v>
      </c>
      <c r="D17" s="349">
        <f>ORÇAMENTO!L69</f>
        <v>0</v>
      </c>
      <c r="E17" s="348">
        <v>0.3</v>
      </c>
      <c r="F17" s="116">
        <f>E17*$D$17</f>
        <v>0</v>
      </c>
      <c r="G17" s="348">
        <v>0.7</v>
      </c>
      <c r="H17" s="116">
        <f>G17*$D$17</f>
        <v>0</v>
      </c>
      <c r="I17" s="349">
        <f>ROUND(F17+H17,2)</f>
        <v>0</v>
      </c>
      <c r="J17" s="348">
        <f>E17+G17</f>
        <v>1</v>
      </c>
      <c r="K17" s="233"/>
      <c r="L17" s="233"/>
      <c r="M17" s="234"/>
    </row>
    <row r="18" spans="1:13" ht="12.75">
      <c r="A18" s="346"/>
      <c r="B18" s="347"/>
      <c r="C18" s="348"/>
      <c r="D18" s="349"/>
      <c r="E18" s="348"/>
      <c r="F18" s="115">
        <f>E17</f>
        <v>0.3</v>
      </c>
      <c r="G18" s="348"/>
      <c r="H18" s="115">
        <f>G17</f>
        <v>0.7</v>
      </c>
      <c r="I18" s="349"/>
      <c r="J18" s="348"/>
      <c r="K18" s="233"/>
      <c r="L18" s="233"/>
      <c r="M18" s="234"/>
    </row>
    <row r="19" spans="1:13" ht="12.75">
      <c r="A19" s="346">
        <v>5</v>
      </c>
      <c r="B19" s="347" t="str">
        <f>ORÇAMENTO!D70</f>
        <v>SINALIZAÇÃO VIÁRIA</v>
      </c>
      <c r="C19" s="348" t="e">
        <f>ORÇAMENTO!N81</f>
        <v>#DIV/0!</v>
      </c>
      <c r="D19" s="349">
        <f>ORÇAMENTO!L81</f>
        <v>0</v>
      </c>
      <c r="E19" s="348">
        <v>0</v>
      </c>
      <c r="F19" s="116">
        <f>E19*$D$19</f>
        <v>0</v>
      </c>
      <c r="G19" s="348">
        <v>1</v>
      </c>
      <c r="H19" s="116">
        <f>G19*$D$19</f>
        <v>0</v>
      </c>
      <c r="I19" s="349">
        <f>ROUND(F19+H19,2)</f>
        <v>0</v>
      </c>
      <c r="J19" s="348">
        <f>E19+G19</f>
        <v>1</v>
      </c>
      <c r="K19" s="233"/>
      <c r="L19" s="233"/>
      <c r="M19" s="234"/>
    </row>
    <row r="20" spans="1:13" ht="12.75">
      <c r="A20" s="346"/>
      <c r="B20" s="347"/>
      <c r="C20" s="348"/>
      <c r="D20" s="349"/>
      <c r="E20" s="348"/>
      <c r="F20" s="115">
        <f>E19</f>
        <v>0</v>
      </c>
      <c r="G20" s="348"/>
      <c r="H20" s="115">
        <f>G19</f>
        <v>1</v>
      </c>
      <c r="I20" s="349"/>
      <c r="J20" s="348"/>
      <c r="K20" s="233"/>
      <c r="L20" s="233"/>
      <c r="M20" s="234"/>
    </row>
    <row r="21" spans="1:13" ht="12.75">
      <c r="A21" s="346">
        <v>6</v>
      </c>
      <c r="B21" s="347" t="str">
        <f>ORÇAMENTO!D82</f>
        <v>ENSAIOS TECNOLÓGICOS</v>
      </c>
      <c r="C21" s="348" t="e">
        <f>ORÇAMENTO!N95</f>
        <v>#DIV/0!</v>
      </c>
      <c r="D21" s="349">
        <f>ORÇAMENTO!L95</f>
        <v>0</v>
      </c>
      <c r="E21" s="348">
        <v>0.5</v>
      </c>
      <c r="F21" s="116">
        <f>E21*$D$21</f>
        <v>0</v>
      </c>
      <c r="G21" s="348">
        <v>0.5</v>
      </c>
      <c r="H21" s="116">
        <f>G21*$D$21</f>
        <v>0</v>
      </c>
      <c r="I21" s="349">
        <f>ROUND(F21+H21,2)</f>
        <v>0</v>
      </c>
      <c r="J21" s="348">
        <f>E21+G21</f>
        <v>1</v>
      </c>
      <c r="K21" s="233"/>
      <c r="L21" s="233"/>
      <c r="M21" s="234"/>
    </row>
    <row r="22" spans="1:13" ht="12.75">
      <c r="A22" s="346"/>
      <c r="B22" s="347"/>
      <c r="C22" s="348"/>
      <c r="D22" s="349"/>
      <c r="E22" s="348"/>
      <c r="F22" s="115">
        <f>E21</f>
        <v>0.5</v>
      </c>
      <c r="G22" s="348"/>
      <c r="H22" s="115">
        <f>G21</f>
        <v>0.5</v>
      </c>
      <c r="I22" s="349"/>
      <c r="J22" s="348"/>
      <c r="K22" s="233"/>
      <c r="L22" s="233"/>
      <c r="M22" s="234"/>
    </row>
    <row r="23" spans="1:13" ht="12.75">
      <c r="A23" s="346">
        <v>7</v>
      </c>
      <c r="B23" s="347" t="str">
        <f>ORÇAMENTO!D96</f>
        <v>SERVIÇOS FINAIS</v>
      </c>
      <c r="C23" s="348" t="e">
        <f>ORÇAMENTO!N98</f>
        <v>#DIV/0!</v>
      </c>
      <c r="D23" s="349">
        <f>ORÇAMENTO!L98</f>
        <v>0</v>
      </c>
      <c r="E23" s="348">
        <v>0</v>
      </c>
      <c r="F23" s="116">
        <f>E23*$D$23</f>
        <v>0</v>
      </c>
      <c r="G23" s="348">
        <v>1</v>
      </c>
      <c r="H23" s="116">
        <f>G23*$D$23</f>
        <v>0</v>
      </c>
      <c r="I23" s="349">
        <f>ROUND(F23+H23,2)</f>
        <v>0</v>
      </c>
      <c r="J23" s="348">
        <f>E23+G23</f>
        <v>1</v>
      </c>
      <c r="K23" s="233"/>
      <c r="L23" s="233"/>
      <c r="M23" s="234"/>
    </row>
    <row r="24" spans="1:13" ht="12.75">
      <c r="A24" s="346"/>
      <c r="B24" s="347"/>
      <c r="C24" s="348"/>
      <c r="D24" s="349"/>
      <c r="E24" s="348"/>
      <c r="F24" s="115">
        <f>E23</f>
        <v>0</v>
      </c>
      <c r="G24" s="348"/>
      <c r="H24" s="115">
        <f>G23</f>
        <v>1</v>
      </c>
      <c r="I24" s="349"/>
      <c r="J24" s="348"/>
      <c r="K24" s="233"/>
      <c r="L24" s="233"/>
      <c r="M24" s="234"/>
    </row>
    <row r="25" spans="1:13" s="120" customFormat="1" ht="12.75">
      <c r="A25" s="363"/>
      <c r="B25" s="364" t="s">
        <v>150</v>
      </c>
      <c r="C25" s="361" t="e">
        <f>SUM(C11:C24)</f>
        <v>#DIV/0!</v>
      </c>
      <c r="D25" s="362">
        <f>ROUND(SUM(D11:D24),2)</f>
        <v>0</v>
      </c>
      <c r="E25" s="361" t="e">
        <f>F25/D25</f>
        <v>#DIV/0!</v>
      </c>
      <c r="F25" s="362">
        <f>ROUND(F11+F13+F15+F17+F19+F21+F23,2)</f>
        <v>0</v>
      </c>
      <c r="G25" s="361" t="e">
        <f>H25/D25</f>
        <v>#DIV/0!</v>
      </c>
      <c r="H25" s="362">
        <f>ROUND(H11+H13+H15+H17+H19+H21+H23,2)</f>
        <v>0</v>
      </c>
      <c r="I25" s="362">
        <f>ROUND(SUM(I11:I24),2)</f>
        <v>0</v>
      </c>
      <c r="J25" s="361" t="e">
        <f>E25+G25</f>
        <v>#DIV/0!</v>
      </c>
      <c r="K25" s="237"/>
      <c r="L25" s="237"/>
      <c r="M25" s="238"/>
    </row>
    <row r="26" spans="1:13" s="120" customFormat="1" ht="12.75">
      <c r="A26" s="363"/>
      <c r="B26" s="364"/>
      <c r="C26" s="361"/>
      <c r="D26" s="361"/>
      <c r="E26" s="361"/>
      <c r="F26" s="362"/>
      <c r="G26" s="361"/>
      <c r="H26" s="362"/>
      <c r="I26" s="362"/>
      <c r="J26" s="362"/>
      <c r="K26" s="237"/>
      <c r="L26" s="237"/>
      <c r="M26" s="238"/>
    </row>
    <row r="27" spans="1:13" ht="12.75">
      <c r="A27" s="239"/>
      <c r="B27" s="240"/>
      <c r="C27" s="240"/>
      <c r="D27" s="240"/>
      <c r="E27" s="240"/>
      <c r="F27" s="240"/>
      <c r="G27" s="240"/>
      <c r="H27" s="240"/>
      <c r="I27" s="240"/>
      <c r="J27" s="240"/>
      <c r="K27" s="233"/>
      <c r="L27" s="233"/>
      <c r="M27" s="234"/>
    </row>
    <row r="28" spans="1:13" ht="12.75">
      <c r="A28" s="239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4"/>
    </row>
    <row r="29" spans="1:13" ht="12.75">
      <c r="A29" s="239"/>
      <c r="B29" s="241" t="s">
        <v>241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4"/>
    </row>
    <row r="30" spans="1:13" ht="12.75">
      <c r="A30" s="239"/>
      <c r="B30" s="233" t="s">
        <v>239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4"/>
    </row>
    <row r="31" spans="1:13" ht="12.75">
      <c r="A31" s="239"/>
      <c r="B31" s="233" t="s">
        <v>240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4"/>
    </row>
    <row r="32" spans="1:13" ht="12.75">
      <c r="A32" s="239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4"/>
    </row>
    <row r="33" spans="1:13" ht="12.75">
      <c r="A33" s="239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4"/>
    </row>
    <row r="34" spans="1:13" ht="12.75">
      <c r="A34" s="239"/>
      <c r="B34" s="241" t="s">
        <v>241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4"/>
    </row>
    <row r="35" spans="1:13" ht="12.75">
      <c r="A35" s="239"/>
      <c r="B35" s="233" t="s">
        <v>247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4"/>
    </row>
    <row r="36" spans="1:13" ht="12.75">
      <c r="A36" s="239"/>
      <c r="B36" s="233" t="s">
        <v>248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4"/>
    </row>
    <row r="37" spans="1:13" ht="12.75">
      <c r="A37" s="242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4"/>
    </row>
  </sheetData>
  <sheetProtection selectLockedCells="1" selectUnlockedCells="1"/>
  <mergeCells count="85">
    <mergeCell ref="A25:A26"/>
    <mergeCell ref="B25:B26"/>
    <mergeCell ref="C25:C26"/>
    <mergeCell ref="D25:D26"/>
    <mergeCell ref="E25:E26"/>
    <mergeCell ref="F25:F26"/>
    <mergeCell ref="G21:G22"/>
    <mergeCell ref="I21:I22"/>
    <mergeCell ref="E21:E22"/>
    <mergeCell ref="D23:D24"/>
    <mergeCell ref="E23:E24"/>
    <mergeCell ref="J21:J22"/>
    <mergeCell ref="J25:J26"/>
    <mergeCell ref="G25:G26"/>
    <mergeCell ref="H25:H26"/>
    <mergeCell ref="I25:I26"/>
    <mergeCell ref="J23:J24"/>
    <mergeCell ref="G23:G24"/>
    <mergeCell ref="I23:I24"/>
    <mergeCell ref="A23:A24"/>
    <mergeCell ref="D17:D18"/>
    <mergeCell ref="G19:G20"/>
    <mergeCell ref="I19:I20"/>
    <mergeCell ref="A21:A22"/>
    <mergeCell ref="B21:B22"/>
    <mergeCell ref="C21:C22"/>
    <mergeCell ref="D21:D22"/>
    <mergeCell ref="B23:B24"/>
    <mergeCell ref="C23:C24"/>
    <mergeCell ref="J13:J14"/>
    <mergeCell ref="A19:A20"/>
    <mergeCell ref="B19:B20"/>
    <mergeCell ref="C19:C20"/>
    <mergeCell ref="D19:D20"/>
    <mergeCell ref="E19:E20"/>
    <mergeCell ref="I15:I16"/>
    <mergeCell ref="E15:E16"/>
    <mergeCell ref="A15:A16"/>
    <mergeCell ref="B15:B16"/>
    <mergeCell ref="C15:C16"/>
    <mergeCell ref="J19:J20"/>
    <mergeCell ref="G17:G18"/>
    <mergeCell ref="I17:I18"/>
    <mergeCell ref="J17:J18"/>
    <mergeCell ref="I11:I12"/>
    <mergeCell ref="G13:G14"/>
    <mergeCell ref="I13:I14"/>
    <mergeCell ref="E13:E14"/>
    <mergeCell ref="G9:H9"/>
    <mergeCell ref="A17:A18"/>
    <mergeCell ref="B17:B18"/>
    <mergeCell ref="C17:C18"/>
    <mergeCell ref="E17:E18"/>
    <mergeCell ref="G15:G16"/>
    <mergeCell ref="G11:G12"/>
    <mergeCell ref="J11:J12"/>
    <mergeCell ref="A9:A10"/>
    <mergeCell ref="B9:B10"/>
    <mergeCell ref="C9:C10"/>
    <mergeCell ref="D15:D16"/>
    <mergeCell ref="A13:A14"/>
    <mergeCell ref="J15:J16"/>
    <mergeCell ref="J9:J10"/>
    <mergeCell ref="I9:I10"/>
    <mergeCell ref="D9:D10"/>
    <mergeCell ref="A7:C7"/>
    <mergeCell ref="D7:I7"/>
    <mergeCell ref="A8:C8"/>
    <mergeCell ref="D8:I8"/>
    <mergeCell ref="E9:F9"/>
    <mergeCell ref="A11:A12"/>
    <mergeCell ref="B11:B12"/>
    <mergeCell ref="C11:C12"/>
    <mergeCell ref="D11:D12"/>
    <mergeCell ref="E11:E12"/>
    <mergeCell ref="B13:B14"/>
    <mergeCell ref="C13:C14"/>
    <mergeCell ref="D13:D14"/>
    <mergeCell ref="A2:L2"/>
    <mergeCell ref="A3:M3"/>
    <mergeCell ref="A4:M4"/>
    <mergeCell ref="A5:C5"/>
    <mergeCell ref="D5:I5"/>
    <mergeCell ref="D6:I6"/>
    <mergeCell ref="A6:C6"/>
  </mergeCells>
  <printOptions horizontalCentered="1" verticalCentered="1"/>
  <pageMargins left="0.2362204724409449" right="0.1968503937007874" top="0" bottom="0" header="0.5118110236220472" footer="0.5118110236220472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M24" sqref="M24"/>
    </sheetView>
  </sheetViews>
  <sheetFormatPr defaultColWidth="9.140625" defaultRowHeight="15"/>
  <cols>
    <col min="1" max="1" width="14.57421875" style="0" customWidth="1"/>
    <col min="2" max="2" width="63.28125" style="0" customWidth="1"/>
    <col min="3" max="3" width="10.8515625" style="0" customWidth="1"/>
    <col min="4" max="4" width="11.421875" style="0" customWidth="1"/>
    <col min="5" max="5" width="16.421875" style="0" customWidth="1"/>
    <col min="6" max="6" width="15.57421875" style="0" customWidth="1"/>
    <col min="7" max="7" width="20.28125" style="0" customWidth="1"/>
  </cols>
  <sheetData>
    <row r="1" spans="1:7" ht="15" customHeight="1">
      <c r="A1" s="121" t="s">
        <v>151</v>
      </c>
      <c r="B1" s="365" t="s">
        <v>227</v>
      </c>
      <c r="C1" s="365"/>
      <c r="D1" s="365"/>
      <c r="E1" s="365"/>
      <c r="F1" s="122"/>
      <c r="G1" s="123" t="s">
        <v>152</v>
      </c>
    </row>
    <row r="2" spans="1:7" ht="15.75" customHeight="1">
      <c r="A2" s="124" t="s">
        <v>153</v>
      </c>
      <c r="B2" s="366" t="s">
        <v>226</v>
      </c>
      <c r="C2" s="366"/>
      <c r="D2" s="125"/>
      <c r="E2" s="126"/>
      <c r="F2" s="367" t="s">
        <v>263</v>
      </c>
      <c r="G2" s="367"/>
    </row>
    <row r="3" spans="1:7" ht="15">
      <c r="A3" s="127"/>
      <c r="B3" s="128"/>
      <c r="C3" s="128"/>
      <c r="D3" s="128"/>
      <c r="E3" s="129"/>
      <c r="F3" s="130"/>
      <c r="G3" s="130"/>
    </row>
    <row r="4" spans="1:7" ht="25.5">
      <c r="A4" s="131" t="s">
        <v>154</v>
      </c>
      <c r="B4" s="132" t="s">
        <v>145</v>
      </c>
      <c r="C4" s="132" t="s">
        <v>155</v>
      </c>
      <c r="D4" s="132" t="s">
        <v>156</v>
      </c>
      <c r="E4" s="133" t="s">
        <v>157</v>
      </c>
      <c r="F4" s="134" t="s">
        <v>158</v>
      </c>
      <c r="G4" s="134" t="s">
        <v>159</v>
      </c>
    </row>
    <row r="5" spans="1:7" ht="15">
      <c r="A5" s="135"/>
      <c r="B5" s="136"/>
      <c r="C5" s="137"/>
      <c r="D5" s="137"/>
      <c r="E5" s="138"/>
      <c r="F5" s="139"/>
      <c r="G5" s="139"/>
    </row>
    <row r="6" spans="1:7" ht="15">
      <c r="A6" s="140"/>
      <c r="B6" s="141" t="s">
        <v>160</v>
      </c>
      <c r="C6" s="142"/>
      <c r="D6" s="142"/>
      <c r="E6" s="142"/>
      <c r="F6" s="143"/>
      <c r="G6" s="143"/>
    </row>
    <row r="7" spans="1:7" ht="24">
      <c r="A7" s="144" t="s">
        <v>161</v>
      </c>
      <c r="B7" s="141" t="s">
        <v>162</v>
      </c>
      <c r="C7" s="142" t="s">
        <v>163</v>
      </c>
      <c r="D7" s="142" t="s">
        <v>164</v>
      </c>
      <c r="E7" s="143">
        <v>1</v>
      </c>
      <c r="F7" s="145">
        <f>G7/E7</f>
        <v>73.2285</v>
      </c>
      <c r="G7" s="146">
        <f>SUM(G8:G12)</f>
        <v>73.2285</v>
      </c>
    </row>
    <row r="8" spans="1:7" ht="15">
      <c r="A8" s="147" t="s">
        <v>165</v>
      </c>
      <c r="B8" s="148" t="s">
        <v>166</v>
      </c>
      <c r="C8" s="149" t="s">
        <v>15</v>
      </c>
      <c r="D8" s="149" t="s">
        <v>96</v>
      </c>
      <c r="E8" s="150">
        <v>1.3</v>
      </c>
      <c r="F8" s="150">
        <v>0.5</v>
      </c>
      <c r="G8" s="150">
        <f>E8*F8</f>
        <v>0.65</v>
      </c>
    </row>
    <row r="9" spans="1:7" ht="15">
      <c r="A9" s="147" t="s">
        <v>167</v>
      </c>
      <c r="B9" s="148" t="s">
        <v>168</v>
      </c>
      <c r="C9" s="149" t="s">
        <v>15</v>
      </c>
      <c r="D9" s="149" t="s">
        <v>96</v>
      </c>
      <c r="E9" s="150">
        <v>4.5</v>
      </c>
      <c r="F9" s="150">
        <v>0.47</v>
      </c>
      <c r="G9" s="150">
        <f>E9*F9</f>
        <v>2.1149999999999998</v>
      </c>
    </row>
    <row r="10" spans="1:7" ht="15">
      <c r="A10" s="147" t="s">
        <v>169</v>
      </c>
      <c r="B10" s="148" t="s">
        <v>170</v>
      </c>
      <c r="C10" s="149" t="s">
        <v>15</v>
      </c>
      <c r="D10" s="149" t="s">
        <v>164</v>
      </c>
      <c r="E10" s="151">
        <v>1.05</v>
      </c>
      <c r="F10" s="150">
        <v>62.5</v>
      </c>
      <c r="G10" s="150">
        <f>E10*F10</f>
        <v>65.625</v>
      </c>
    </row>
    <row r="11" spans="1:7" ht="15">
      <c r="A11" s="147" t="s">
        <v>171</v>
      </c>
      <c r="B11" s="148" t="s">
        <v>172</v>
      </c>
      <c r="C11" s="149" t="s">
        <v>14</v>
      </c>
      <c r="D11" s="149" t="s">
        <v>97</v>
      </c>
      <c r="E11" s="150">
        <v>0.3</v>
      </c>
      <c r="F11" s="150">
        <v>9.97</v>
      </c>
      <c r="G11" s="150">
        <f>E11*F11</f>
        <v>2.991</v>
      </c>
    </row>
    <row r="12" spans="1:7" ht="15">
      <c r="A12" s="147" t="s">
        <v>173</v>
      </c>
      <c r="B12" s="148" t="s">
        <v>174</v>
      </c>
      <c r="C12" s="149" t="s">
        <v>14</v>
      </c>
      <c r="D12" s="149" t="s">
        <v>97</v>
      </c>
      <c r="E12" s="150">
        <v>0.25</v>
      </c>
      <c r="F12" s="150">
        <v>7.39</v>
      </c>
      <c r="G12" s="150">
        <f>E12*F12</f>
        <v>1.8475</v>
      </c>
    </row>
    <row r="13" spans="1:7" ht="24">
      <c r="A13" s="144" t="s">
        <v>105</v>
      </c>
      <c r="B13" s="141" t="s">
        <v>175</v>
      </c>
      <c r="C13" s="142" t="s">
        <v>163</v>
      </c>
      <c r="D13" s="142" t="s">
        <v>164</v>
      </c>
      <c r="E13" s="143">
        <v>1</v>
      </c>
      <c r="F13" s="145">
        <f>G13/E13</f>
        <v>76.7535</v>
      </c>
      <c r="G13" s="146">
        <f>SUM(G14:G18)</f>
        <v>76.7535</v>
      </c>
    </row>
    <row r="14" spans="1:7" ht="15">
      <c r="A14" s="147" t="s">
        <v>165</v>
      </c>
      <c r="B14" s="148" t="s">
        <v>166</v>
      </c>
      <c r="C14" s="149" t="s">
        <v>15</v>
      </c>
      <c r="D14" s="149" t="s">
        <v>96</v>
      </c>
      <c r="E14" s="150">
        <v>1.3</v>
      </c>
      <c r="F14" s="150">
        <v>0.5</v>
      </c>
      <c r="G14" s="150">
        <f>E14*F14</f>
        <v>0.65</v>
      </c>
    </row>
    <row r="15" spans="1:7" ht="15">
      <c r="A15" s="147" t="s">
        <v>167</v>
      </c>
      <c r="B15" s="148" t="s">
        <v>168</v>
      </c>
      <c r="C15" s="149" t="s">
        <v>15</v>
      </c>
      <c r="D15" s="149" t="s">
        <v>96</v>
      </c>
      <c r="E15" s="150">
        <v>4.5</v>
      </c>
      <c r="F15" s="150">
        <v>0.32</v>
      </c>
      <c r="G15" s="150">
        <f>E15*F15</f>
        <v>1.44</v>
      </c>
    </row>
    <row r="16" spans="1:7" ht="15">
      <c r="A16" s="147" t="s">
        <v>169</v>
      </c>
      <c r="B16" s="148" t="s">
        <v>170</v>
      </c>
      <c r="C16" s="149" t="s">
        <v>15</v>
      </c>
      <c r="D16" s="149" t="s">
        <v>164</v>
      </c>
      <c r="E16" s="151">
        <v>1.05</v>
      </c>
      <c r="F16" s="150">
        <v>66.5</v>
      </c>
      <c r="G16" s="150">
        <f>E16*F16</f>
        <v>69.825</v>
      </c>
    </row>
    <row r="17" spans="1:7" ht="15">
      <c r="A17" s="147" t="s">
        <v>171</v>
      </c>
      <c r="B17" s="148" t="s">
        <v>172</v>
      </c>
      <c r="C17" s="149" t="s">
        <v>14</v>
      </c>
      <c r="D17" s="149" t="s">
        <v>97</v>
      </c>
      <c r="E17" s="150">
        <v>0.3</v>
      </c>
      <c r="F17" s="150">
        <v>9.97</v>
      </c>
      <c r="G17" s="150">
        <f>E17*F17</f>
        <v>2.991</v>
      </c>
    </row>
    <row r="18" spans="1:7" ht="15">
      <c r="A18" s="147" t="s">
        <v>173</v>
      </c>
      <c r="B18" s="148" t="s">
        <v>174</v>
      </c>
      <c r="C18" s="149" t="s">
        <v>14</v>
      </c>
      <c r="D18" s="149" t="s">
        <v>97</v>
      </c>
      <c r="E18" s="150">
        <v>0.25</v>
      </c>
      <c r="F18" s="150">
        <v>7.39</v>
      </c>
      <c r="G18" s="150">
        <f>E18*F18</f>
        <v>1.8475</v>
      </c>
    </row>
    <row r="19" spans="1:7" ht="15">
      <c r="A19" s="140"/>
      <c r="B19" s="141" t="s">
        <v>176</v>
      </c>
      <c r="C19" s="142"/>
      <c r="D19" s="142"/>
      <c r="E19" s="142"/>
      <c r="F19" s="143"/>
      <c r="G19" s="143"/>
    </row>
    <row r="20" spans="1:7" ht="15">
      <c r="A20" s="144" t="s">
        <v>177</v>
      </c>
      <c r="B20" s="141" t="s">
        <v>178</v>
      </c>
      <c r="C20" s="142" t="s">
        <v>163</v>
      </c>
      <c r="D20" s="142" t="s">
        <v>179</v>
      </c>
      <c r="E20" s="143">
        <v>1</v>
      </c>
      <c r="F20" s="145">
        <f>G20/E20</f>
        <v>79.6525</v>
      </c>
      <c r="G20" s="146">
        <f>SUM(G21:G22)</f>
        <v>79.6525</v>
      </c>
    </row>
    <row r="21" spans="1:7" ht="15">
      <c r="A21" s="147" t="s">
        <v>180</v>
      </c>
      <c r="B21" s="148" t="s">
        <v>181</v>
      </c>
      <c r="C21" s="149" t="s">
        <v>15</v>
      </c>
      <c r="D21" s="149" t="s">
        <v>182</v>
      </c>
      <c r="E21" s="150">
        <v>1.15</v>
      </c>
      <c r="F21" s="150">
        <v>51.75</v>
      </c>
      <c r="G21" s="150">
        <f>E21*F21</f>
        <v>59.512499999999996</v>
      </c>
    </row>
    <row r="22" spans="1:7" ht="15">
      <c r="A22" s="147" t="s">
        <v>183</v>
      </c>
      <c r="B22" s="148" t="s">
        <v>184</v>
      </c>
      <c r="C22" s="149" t="s">
        <v>14</v>
      </c>
      <c r="D22" s="149" t="s">
        <v>97</v>
      </c>
      <c r="E22" s="150">
        <v>2</v>
      </c>
      <c r="F22" s="150">
        <v>10.07</v>
      </c>
      <c r="G22" s="150">
        <f>E22*F22</f>
        <v>20.14</v>
      </c>
    </row>
  </sheetData>
  <sheetProtection selectLockedCells="1" selectUnlockedCells="1"/>
  <mergeCells count="3">
    <mergeCell ref="B1:E1"/>
    <mergeCell ref="B2:C2"/>
    <mergeCell ref="F2:G2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4"/>
  <sheetViews>
    <sheetView zoomScale="80" zoomScaleNormal="80" zoomScalePageLayoutView="0" workbookViewId="0" topLeftCell="A1">
      <selection activeCell="M26" sqref="M26"/>
    </sheetView>
  </sheetViews>
  <sheetFormatPr defaultColWidth="9.140625" defaultRowHeight="15"/>
  <cols>
    <col min="1" max="1" width="11.7109375" style="0" customWidth="1"/>
    <col min="2" max="2" width="10.57421875" style="0" customWidth="1"/>
    <col min="6" max="6" width="10.7109375" style="0" customWidth="1"/>
  </cols>
  <sheetData>
    <row r="2" spans="1:7" ht="15">
      <c r="A2" s="263" t="s">
        <v>266</v>
      </c>
      <c r="B2" s="264" t="s">
        <v>55</v>
      </c>
      <c r="C2" s="265"/>
      <c r="D2" s="265"/>
      <c r="E2" s="265"/>
      <c r="F2" s="265"/>
      <c r="G2" s="266"/>
    </row>
    <row r="3" spans="1:7" ht="15">
      <c r="A3" s="267" t="s">
        <v>268</v>
      </c>
      <c r="B3" s="268"/>
      <c r="C3" s="268"/>
      <c r="D3" s="268"/>
      <c r="E3" s="268"/>
      <c r="F3" s="268"/>
      <c r="G3" s="269"/>
    </row>
    <row r="4" spans="1:7" ht="15">
      <c r="A4" s="270" t="s">
        <v>267</v>
      </c>
      <c r="B4" s="271"/>
      <c r="C4" s="272">
        <v>8200.24</v>
      </c>
      <c r="D4" s="271"/>
      <c r="E4" s="271"/>
      <c r="F4" s="271"/>
      <c r="G4" s="273"/>
    </row>
    <row r="5" spans="1:7" ht="15">
      <c r="A5" s="268"/>
      <c r="B5" s="268"/>
      <c r="C5" s="282"/>
      <c r="D5" s="268"/>
      <c r="E5" s="268"/>
      <c r="F5" s="268"/>
      <c r="G5" s="268"/>
    </row>
    <row r="6" spans="1:7" ht="15">
      <c r="A6" s="268"/>
      <c r="B6" s="268"/>
      <c r="C6" s="282"/>
      <c r="D6" s="268"/>
      <c r="E6" s="268"/>
      <c r="F6" s="268"/>
      <c r="G6" s="268"/>
    </row>
    <row r="8" spans="1:8" ht="15">
      <c r="A8" s="274" t="s">
        <v>303</v>
      </c>
      <c r="B8" s="275"/>
      <c r="C8" s="265"/>
      <c r="D8" s="265"/>
      <c r="E8" s="265"/>
      <c r="F8" s="265"/>
      <c r="G8" s="265"/>
      <c r="H8" s="266"/>
    </row>
    <row r="9" spans="1:8" ht="15">
      <c r="A9" s="276" t="s">
        <v>275</v>
      </c>
      <c r="B9" s="278"/>
      <c r="C9" s="268"/>
      <c r="D9" s="268"/>
      <c r="E9" s="268"/>
      <c r="F9" s="268"/>
      <c r="G9" s="268"/>
      <c r="H9" s="269"/>
    </row>
    <row r="10" spans="1:8" ht="15">
      <c r="A10" s="283"/>
      <c r="B10" s="277"/>
      <c r="C10" s="268"/>
      <c r="D10" s="268"/>
      <c r="E10" s="268"/>
      <c r="F10" s="268"/>
      <c r="G10" s="268"/>
      <c r="H10" s="269"/>
    </row>
    <row r="11" spans="1:8" ht="15">
      <c r="A11" s="267" t="s">
        <v>273</v>
      </c>
      <c r="B11" s="268"/>
      <c r="C11" s="268"/>
      <c r="D11" s="268"/>
      <c r="E11" s="268"/>
      <c r="F11" s="268"/>
      <c r="G11" s="268"/>
      <c r="H11" s="269"/>
    </row>
    <row r="12" spans="1:8" ht="15">
      <c r="A12" s="267"/>
      <c r="B12" s="268"/>
      <c r="C12" s="268"/>
      <c r="D12" s="268"/>
      <c r="E12" s="268"/>
      <c r="F12" s="268"/>
      <c r="G12" s="268"/>
      <c r="H12" s="269"/>
    </row>
    <row r="13" spans="1:8" ht="15">
      <c r="A13" s="368" t="s">
        <v>274</v>
      </c>
      <c r="B13" s="369"/>
      <c r="C13" s="268"/>
      <c r="D13" s="268"/>
      <c r="E13" s="268"/>
      <c r="F13" s="268"/>
      <c r="G13" s="268"/>
      <c r="H13" s="269"/>
    </row>
    <row r="14" spans="1:8" ht="15">
      <c r="A14" s="279" t="s">
        <v>276</v>
      </c>
      <c r="B14" s="268">
        <v>1.71</v>
      </c>
      <c r="C14" s="268"/>
      <c r="D14" s="268"/>
      <c r="E14" s="268"/>
      <c r="F14" s="268"/>
      <c r="G14" s="268"/>
      <c r="H14" s="269"/>
    </row>
    <row r="15" spans="1:8" ht="15">
      <c r="A15" s="279" t="s">
        <v>277</v>
      </c>
      <c r="B15" s="268">
        <v>1.42</v>
      </c>
      <c r="C15" s="268"/>
      <c r="D15" s="268"/>
      <c r="E15" s="268"/>
      <c r="F15" s="268"/>
      <c r="G15" s="268"/>
      <c r="H15" s="269"/>
    </row>
    <row r="16" spans="1:8" ht="15">
      <c r="A16" s="279" t="s">
        <v>278</v>
      </c>
      <c r="B16" s="268">
        <v>1.39</v>
      </c>
      <c r="C16" s="268"/>
      <c r="D16" s="268"/>
      <c r="E16" s="268"/>
      <c r="F16" s="268"/>
      <c r="G16" s="268"/>
      <c r="H16" s="269"/>
    </row>
    <row r="17" spans="1:8" ht="15">
      <c r="A17" s="279" t="s">
        <v>279</v>
      </c>
      <c r="B17" s="277">
        <v>1.26</v>
      </c>
      <c r="C17" s="268"/>
      <c r="D17" s="268"/>
      <c r="E17" s="268"/>
      <c r="F17" s="268"/>
      <c r="G17" s="268"/>
      <c r="H17" s="269"/>
    </row>
    <row r="18" spans="1:8" ht="15">
      <c r="A18" s="279" t="s">
        <v>280</v>
      </c>
      <c r="B18" s="277">
        <v>1.2</v>
      </c>
      <c r="C18" s="268"/>
      <c r="D18" s="268"/>
      <c r="E18" s="268"/>
      <c r="F18" s="268"/>
      <c r="G18" s="268"/>
      <c r="H18" s="269"/>
    </row>
    <row r="19" spans="1:8" ht="15">
      <c r="A19" s="279" t="s">
        <v>281</v>
      </c>
      <c r="B19" s="277">
        <v>1.3</v>
      </c>
      <c r="C19" s="268"/>
      <c r="D19" s="268"/>
      <c r="E19" s="268"/>
      <c r="F19" s="268"/>
      <c r="G19" s="268"/>
      <c r="H19" s="269"/>
    </row>
    <row r="20" spans="1:8" ht="15">
      <c r="A20" s="279" t="s">
        <v>282</v>
      </c>
      <c r="B20" s="277">
        <v>1.2</v>
      </c>
      <c r="C20" s="268"/>
      <c r="D20" s="268"/>
      <c r="E20" s="268"/>
      <c r="F20" s="268"/>
      <c r="G20" s="268"/>
      <c r="H20" s="269"/>
    </row>
    <row r="21" spans="1:8" ht="15">
      <c r="A21" s="267"/>
      <c r="B21" s="268"/>
      <c r="C21" s="268"/>
      <c r="D21" s="268"/>
      <c r="E21" s="268"/>
      <c r="F21" s="268"/>
      <c r="G21" s="268"/>
      <c r="H21" s="269"/>
    </row>
    <row r="22" spans="1:8" ht="15">
      <c r="A22" s="289" t="s">
        <v>289</v>
      </c>
      <c r="B22" s="290"/>
      <c r="C22" s="290"/>
      <c r="D22" s="290"/>
      <c r="E22" s="290"/>
      <c r="F22" s="290"/>
      <c r="G22" s="268"/>
      <c r="H22" s="269"/>
    </row>
    <row r="23" spans="1:8" ht="15">
      <c r="A23" s="289" t="s">
        <v>305</v>
      </c>
      <c r="B23" s="290"/>
      <c r="C23" s="290"/>
      <c r="D23" s="290"/>
      <c r="E23" s="290"/>
      <c r="F23" s="290"/>
      <c r="G23" s="280"/>
      <c r="H23" s="269"/>
    </row>
    <row r="24" spans="1:8" ht="15">
      <c r="A24" s="289" t="s">
        <v>306</v>
      </c>
      <c r="B24" s="290"/>
      <c r="C24" s="290"/>
      <c r="D24" s="290"/>
      <c r="E24" s="290"/>
      <c r="F24" s="290"/>
      <c r="G24" s="280"/>
      <c r="H24" s="269"/>
    </row>
    <row r="25" spans="1:8" ht="15">
      <c r="A25" s="267"/>
      <c r="B25" s="268"/>
      <c r="C25" s="268"/>
      <c r="D25" s="268"/>
      <c r="E25" s="268"/>
      <c r="F25" s="268"/>
      <c r="G25" s="280"/>
      <c r="H25" s="269"/>
    </row>
    <row r="26" spans="1:8" ht="15">
      <c r="A26" s="267" t="s">
        <v>290</v>
      </c>
      <c r="B26" s="268"/>
      <c r="C26" s="268"/>
      <c r="D26" s="268"/>
      <c r="E26" s="268"/>
      <c r="F26" s="268"/>
      <c r="G26" s="280"/>
      <c r="H26" s="269"/>
    </row>
    <row r="27" spans="1:10" ht="15">
      <c r="A27" s="267" t="s">
        <v>307</v>
      </c>
      <c r="B27" s="268"/>
      <c r="C27" s="268"/>
      <c r="D27" s="268"/>
      <c r="E27" s="284">
        <v>1.71</v>
      </c>
      <c r="F27" s="268" t="s">
        <v>288</v>
      </c>
      <c r="G27" s="280"/>
      <c r="H27" s="297"/>
      <c r="J27" s="5"/>
    </row>
    <row r="28" spans="1:8" ht="15">
      <c r="A28" s="267"/>
      <c r="B28" s="268"/>
      <c r="C28" s="268"/>
      <c r="D28" s="268"/>
      <c r="E28" s="268"/>
      <c r="F28" s="268"/>
      <c r="G28" s="280"/>
      <c r="H28" s="269"/>
    </row>
    <row r="29" spans="1:8" ht="15">
      <c r="A29" s="267" t="s">
        <v>291</v>
      </c>
      <c r="B29" s="268"/>
      <c r="C29" s="268"/>
      <c r="D29" s="268"/>
      <c r="E29" s="268"/>
      <c r="F29" s="268"/>
      <c r="G29" s="280"/>
      <c r="H29" s="269"/>
    </row>
    <row r="30" spans="1:8" ht="15">
      <c r="A30" s="267" t="s">
        <v>308</v>
      </c>
      <c r="B30" s="268"/>
      <c r="C30" s="268"/>
      <c r="D30" s="268"/>
      <c r="E30" s="284">
        <v>1.42</v>
      </c>
      <c r="F30" s="268" t="s">
        <v>288</v>
      </c>
      <c r="G30" s="280"/>
      <c r="H30" s="269"/>
    </row>
    <row r="31" spans="1:8" ht="15">
      <c r="A31" s="267"/>
      <c r="B31" s="268"/>
      <c r="C31" s="268"/>
      <c r="D31" s="268"/>
      <c r="E31" s="268"/>
      <c r="F31" s="268"/>
      <c r="G31" s="280"/>
      <c r="H31" s="269"/>
    </row>
    <row r="32" spans="1:8" ht="15">
      <c r="A32" s="267" t="s">
        <v>292</v>
      </c>
      <c r="B32" s="268"/>
      <c r="C32" s="268"/>
      <c r="D32" s="268"/>
      <c r="E32" s="268"/>
      <c r="F32" s="268"/>
      <c r="G32" s="280"/>
      <c r="H32" s="269"/>
    </row>
    <row r="33" spans="1:8" ht="15">
      <c r="A33" s="267" t="s">
        <v>309</v>
      </c>
      <c r="B33" s="268"/>
      <c r="C33" s="268"/>
      <c r="D33" s="268"/>
      <c r="E33" s="284">
        <v>1.39</v>
      </c>
      <c r="F33" s="268" t="s">
        <v>288</v>
      </c>
      <c r="G33" s="280"/>
      <c r="H33" s="269"/>
    </row>
    <row r="34" spans="1:8" ht="15">
      <c r="A34" s="267"/>
      <c r="B34" s="268"/>
      <c r="C34" s="268"/>
      <c r="D34" s="268"/>
      <c r="E34" s="268"/>
      <c r="F34" s="268"/>
      <c r="G34" s="280"/>
      <c r="H34" s="269"/>
    </row>
    <row r="35" spans="1:8" ht="15">
      <c r="A35" s="267" t="s">
        <v>293</v>
      </c>
      <c r="B35" s="268"/>
      <c r="C35" s="268"/>
      <c r="D35" s="268"/>
      <c r="E35" s="268"/>
      <c r="F35" s="268"/>
      <c r="G35" s="280"/>
      <c r="H35" s="269"/>
    </row>
    <row r="36" spans="1:8" ht="15">
      <c r="A36" s="267" t="s">
        <v>310</v>
      </c>
      <c r="B36" s="268"/>
      <c r="C36" s="268"/>
      <c r="D36" s="268"/>
      <c r="E36" s="284">
        <v>1.26</v>
      </c>
      <c r="F36" s="268" t="s">
        <v>288</v>
      </c>
      <c r="G36" s="280"/>
      <c r="H36" s="269"/>
    </row>
    <row r="37" spans="1:8" ht="15">
      <c r="A37" s="267"/>
      <c r="B37" s="268"/>
      <c r="C37" s="268"/>
      <c r="D37" s="268"/>
      <c r="E37" s="268"/>
      <c r="F37" s="268"/>
      <c r="G37" s="280"/>
      <c r="H37" s="269"/>
    </row>
    <row r="38" spans="1:8" ht="15">
      <c r="A38" s="267" t="s">
        <v>294</v>
      </c>
      <c r="B38" s="268"/>
      <c r="C38" s="268"/>
      <c r="D38" s="268"/>
      <c r="E38" s="268"/>
      <c r="F38" s="268"/>
      <c r="G38" s="268"/>
      <c r="H38" s="269"/>
    </row>
    <row r="39" spans="1:8" ht="15">
      <c r="A39" s="267" t="s">
        <v>311</v>
      </c>
      <c r="B39" s="268"/>
      <c r="C39" s="268"/>
      <c r="D39" s="268"/>
      <c r="E39" s="284">
        <v>1.2</v>
      </c>
      <c r="F39" s="268" t="s">
        <v>288</v>
      </c>
      <c r="G39" s="268"/>
      <c r="H39" s="269"/>
    </row>
    <row r="40" spans="1:8" ht="15">
      <c r="A40" s="279"/>
      <c r="B40" s="280"/>
      <c r="C40" s="268"/>
      <c r="D40" s="268"/>
      <c r="E40" s="284"/>
      <c r="F40" s="268"/>
      <c r="G40" s="268"/>
      <c r="H40" s="269"/>
    </row>
    <row r="41" spans="1:8" ht="15">
      <c r="A41" s="285" t="s">
        <v>295</v>
      </c>
      <c r="B41" s="280"/>
      <c r="C41" s="268"/>
      <c r="D41" s="268"/>
      <c r="E41" s="284"/>
      <c r="F41" s="268"/>
      <c r="G41" s="268"/>
      <c r="H41" s="269"/>
    </row>
    <row r="42" spans="1:8" ht="15">
      <c r="A42" s="267" t="s">
        <v>312</v>
      </c>
      <c r="B42" s="268"/>
      <c r="C42" s="268"/>
      <c r="D42" s="268"/>
      <c r="E42" s="284">
        <v>1.3</v>
      </c>
      <c r="F42" s="268" t="s">
        <v>288</v>
      </c>
      <c r="G42" s="268"/>
      <c r="H42" s="269"/>
    </row>
    <row r="43" spans="1:8" ht="15">
      <c r="A43" s="279"/>
      <c r="B43" s="280"/>
      <c r="C43" s="268"/>
      <c r="D43" s="268"/>
      <c r="E43" s="268"/>
      <c r="F43" s="268"/>
      <c r="G43" s="268"/>
      <c r="H43" s="269"/>
    </row>
    <row r="44" spans="1:8" ht="15">
      <c r="A44" s="285" t="s">
        <v>296</v>
      </c>
      <c r="B44" s="280"/>
      <c r="C44" s="268"/>
      <c r="D44" s="268"/>
      <c r="E44" s="268"/>
      <c r="F44" s="268"/>
      <c r="G44" s="268"/>
      <c r="H44" s="269"/>
    </row>
    <row r="45" spans="1:8" ht="15">
      <c r="A45" s="267" t="s">
        <v>311</v>
      </c>
      <c r="B45" s="268"/>
      <c r="C45" s="268"/>
      <c r="D45" s="268"/>
      <c r="E45" s="287">
        <v>1.2</v>
      </c>
      <c r="F45" s="268" t="s">
        <v>288</v>
      </c>
      <c r="G45" s="268"/>
      <c r="H45" s="269"/>
    </row>
    <row r="46" spans="1:8" ht="15">
      <c r="A46" s="267"/>
      <c r="B46" s="280"/>
      <c r="C46" s="268"/>
      <c r="D46" s="268"/>
      <c r="E46" s="268"/>
      <c r="F46" s="268"/>
      <c r="G46" s="268"/>
      <c r="H46" s="269"/>
    </row>
    <row r="47" spans="1:8" ht="15">
      <c r="A47" s="267"/>
      <c r="B47" s="268"/>
      <c r="C47" s="286" t="s">
        <v>297</v>
      </c>
      <c r="D47" s="268"/>
      <c r="E47" s="288">
        <f>SUM(E27:E46)</f>
        <v>9.479999999999999</v>
      </c>
      <c r="F47" s="268" t="s">
        <v>288</v>
      </c>
      <c r="G47" s="268"/>
      <c r="H47" s="269"/>
    </row>
    <row r="48" spans="1:8" ht="15">
      <c r="A48" s="270"/>
      <c r="B48" s="271"/>
      <c r="C48" s="271"/>
      <c r="D48" s="271"/>
      <c r="E48" s="271"/>
      <c r="F48" s="271"/>
      <c r="G48" s="271"/>
      <c r="H48" s="273"/>
    </row>
    <row r="50" spans="1:3" ht="15">
      <c r="A50" s="293" t="s">
        <v>313</v>
      </c>
      <c r="B50" s="293"/>
      <c r="C50" s="293"/>
    </row>
    <row r="51" spans="1:3" ht="15">
      <c r="A51" s="293" t="s">
        <v>314</v>
      </c>
      <c r="B51" s="293"/>
      <c r="C51" s="293"/>
    </row>
    <row r="53" ht="15">
      <c r="A53" t="s">
        <v>289</v>
      </c>
    </row>
    <row r="54" ht="15">
      <c r="A54" t="s">
        <v>315</v>
      </c>
    </row>
    <row r="55" ht="15">
      <c r="A55" t="s">
        <v>316</v>
      </c>
    </row>
    <row r="57" ht="15">
      <c r="A57" t="s">
        <v>317</v>
      </c>
    </row>
    <row r="58" spans="1:2" ht="15">
      <c r="A58" s="279" t="s">
        <v>276</v>
      </c>
      <c r="B58" s="268">
        <v>1.71</v>
      </c>
    </row>
    <row r="59" spans="1:2" ht="15">
      <c r="A59" s="279" t="s">
        <v>277</v>
      </c>
      <c r="B59" s="268">
        <v>1.42</v>
      </c>
    </row>
    <row r="60" spans="1:2" ht="15">
      <c r="A60" s="279" t="s">
        <v>278</v>
      </c>
      <c r="B60" s="268">
        <v>1.39</v>
      </c>
    </row>
    <row r="61" spans="1:2" ht="15">
      <c r="A61" s="279" t="s">
        <v>279</v>
      </c>
      <c r="B61" s="277">
        <v>1.26</v>
      </c>
    </row>
    <row r="62" spans="1:2" ht="15">
      <c r="A62" s="279" t="s">
        <v>280</v>
      </c>
      <c r="B62" s="277">
        <v>1.2</v>
      </c>
    </row>
    <row r="63" spans="1:2" ht="15">
      <c r="A63" s="279" t="s">
        <v>281</v>
      </c>
      <c r="B63" s="277">
        <v>1.3</v>
      </c>
    </row>
    <row r="64" spans="1:2" ht="15">
      <c r="A64" s="279" t="s">
        <v>282</v>
      </c>
      <c r="B64" s="277">
        <v>1.2</v>
      </c>
    </row>
    <row r="67" spans="1:4" ht="15">
      <c r="A67" s="294" t="s">
        <v>276</v>
      </c>
      <c r="B67" t="s">
        <v>318</v>
      </c>
      <c r="D67">
        <v>0.13</v>
      </c>
    </row>
    <row r="68" spans="1:4" ht="15">
      <c r="A68" s="279" t="s">
        <v>277</v>
      </c>
      <c r="B68" t="s">
        <v>320</v>
      </c>
      <c r="D68">
        <v>0.13</v>
      </c>
    </row>
    <row r="69" spans="1:4" ht="15">
      <c r="A69" s="279" t="s">
        <v>278</v>
      </c>
      <c r="B69" t="s">
        <v>319</v>
      </c>
      <c r="D69">
        <v>0.11</v>
      </c>
    </row>
    <row r="70" spans="1:4" ht="15">
      <c r="A70" s="279" t="s">
        <v>279</v>
      </c>
      <c r="B70" t="s">
        <v>321</v>
      </c>
      <c r="D70" s="296">
        <v>0.1</v>
      </c>
    </row>
    <row r="71" spans="1:4" ht="15">
      <c r="A71" s="279" t="s">
        <v>280</v>
      </c>
      <c r="B71" t="s">
        <v>322</v>
      </c>
      <c r="D71" s="296">
        <v>0.1</v>
      </c>
    </row>
    <row r="72" spans="1:4" ht="15">
      <c r="A72" s="279" t="s">
        <v>281</v>
      </c>
      <c r="B72" t="s">
        <v>323</v>
      </c>
      <c r="D72" s="296">
        <v>0.1</v>
      </c>
    </row>
    <row r="73" spans="1:4" ht="15">
      <c r="A73" s="279" t="s">
        <v>282</v>
      </c>
      <c r="B73" t="s">
        <v>322</v>
      </c>
      <c r="D73" s="296">
        <v>0.09</v>
      </c>
    </row>
    <row r="74" spans="3:4" ht="15">
      <c r="C74" s="295" t="s">
        <v>324</v>
      </c>
      <c r="D74">
        <f>SUM(D67:D73)</f>
        <v>0.7599999999999999</v>
      </c>
    </row>
  </sheetData>
  <sheetProtection/>
  <mergeCells count="1"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karen.esperanca</cp:lastModifiedBy>
  <cp:lastPrinted>2015-04-07T20:31:59Z</cp:lastPrinted>
  <dcterms:created xsi:type="dcterms:W3CDTF">2015-02-25T20:43:55Z</dcterms:created>
  <dcterms:modified xsi:type="dcterms:W3CDTF">2015-04-07T20:34:16Z</dcterms:modified>
  <cp:category/>
  <cp:version/>
  <cp:contentType/>
  <cp:contentStatus/>
</cp:coreProperties>
</file>